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N:\STATE CONTRACTS\SA Work Spaces\2023 SA Workspaces\Internal 2023\"/>
    </mc:Choice>
  </mc:AlternateContent>
  <xr:revisionPtr revIDLastSave="0" documentId="13_ncr:1_{803E7051-71D7-48C8-96E3-2E7A4A83306F}" xr6:coauthVersionLast="47" xr6:coauthVersionMax="47" xr10:uidLastSave="{00000000-0000-0000-0000-000000000000}"/>
  <bookViews>
    <workbookView xWindow="-120" yWindow="-120" windowWidth="20730" windowHeight="11160" firstSheet="2" activeTab="4" xr2:uid="{00000000-000D-0000-FFFF-FFFF00000000}"/>
  </bookViews>
  <sheets>
    <sheet name="CAT 6- Meeting-Training Room " sheetId="6" r:id="rId1"/>
    <sheet name="CAT 6 -Credenza" sheetId="12" r:id="rId2"/>
    <sheet name="CAT 6- Collaborative Tables" sheetId="13" r:id="rId3"/>
    <sheet name="CAT 6 - Soft Seating and Screen" sheetId="15" r:id="rId4"/>
    <sheet name="CAT 6 - Kitchenette Chairs" sheetId="14" r:id="rId5"/>
    <sheet name="CAT 6 - Open Area Workspace" sheetId="16" r:id="rId6"/>
  </sheets>
  <definedNames>
    <definedName name="lookC6T6V">#REF!</definedName>
    <definedName name="on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" i="16" l="1"/>
  <c r="J3" i="16"/>
  <c r="K731" i="13"/>
  <c r="K732" i="13"/>
  <c r="K733" i="13"/>
  <c r="K734" i="13"/>
  <c r="K735" i="13"/>
  <c r="K736" i="13"/>
  <c r="K737" i="13"/>
  <c r="K738" i="13"/>
  <c r="K739" i="13"/>
  <c r="K740" i="13"/>
  <c r="K741" i="13"/>
  <c r="K742" i="13"/>
  <c r="K743" i="13"/>
  <c r="K744" i="13"/>
  <c r="K745" i="13"/>
  <c r="K746" i="13"/>
  <c r="K747" i="13"/>
  <c r="K748" i="13"/>
  <c r="K749" i="13"/>
  <c r="K750" i="13"/>
  <c r="K751" i="13"/>
  <c r="K752" i="13"/>
  <c r="K753" i="13"/>
  <c r="K754" i="13"/>
  <c r="K755" i="13"/>
  <c r="K756" i="13"/>
  <c r="K757" i="13"/>
  <c r="K758" i="13"/>
  <c r="K759" i="13"/>
  <c r="K760" i="13"/>
  <c r="K761" i="13"/>
  <c r="K762" i="13"/>
  <c r="K763" i="13"/>
  <c r="K764" i="13"/>
  <c r="K765" i="13"/>
  <c r="K766" i="13"/>
  <c r="K767" i="13"/>
  <c r="K768" i="13"/>
  <c r="K769" i="13"/>
  <c r="K770" i="13"/>
  <c r="K771" i="13"/>
  <c r="K772" i="13"/>
  <c r="K773" i="13"/>
  <c r="K774" i="13"/>
  <c r="K775" i="13"/>
  <c r="K776" i="13"/>
  <c r="K777" i="13"/>
  <c r="K778" i="13"/>
  <c r="K779" i="13"/>
  <c r="K780" i="13"/>
  <c r="K781" i="13"/>
  <c r="K782" i="13"/>
  <c r="K783" i="13"/>
  <c r="K784" i="13"/>
  <c r="K785" i="13"/>
  <c r="K786" i="13"/>
  <c r="K787" i="13"/>
  <c r="K788" i="13"/>
  <c r="K789" i="13"/>
  <c r="K790" i="13"/>
  <c r="K791" i="13"/>
  <c r="K792" i="13"/>
  <c r="K793" i="13"/>
  <c r="K794" i="13"/>
  <c r="K795" i="13"/>
  <c r="K796" i="13"/>
  <c r="K797" i="13"/>
  <c r="K798" i="13"/>
  <c r="K799" i="13"/>
  <c r="K800" i="13"/>
  <c r="K801" i="13"/>
  <c r="K802" i="13"/>
  <c r="K803" i="13"/>
  <c r="K804" i="13"/>
  <c r="K805" i="13"/>
  <c r="K806" i="13"/>
  <c r="K807" i="13"/>
  <c r="K808" i="13"/>
  <c r="K809" i="13"/>
  <c r="K810" i="13"/>
  <c r="K811" i="13"/>
  <c r="K812" i="13"/>
  <c r="K813" i="13"/>
  <c r="K814" i="13"/>
  <c r="K815" i="13"/>
  <c r="K816" i="13"/>
  <c r="K817" i="13"/>
  <c r="K818" i="13"/>
  <c r="K820" i="13"/>
  <c r="K821" i="13"/>
  <c r="K822" i="13"/>
  <c r="K823" i="13"/>
  <c r="K824" i="13"/>
  <c r="K825" i="13"/>
  <c r="K826" i="13"/>
  <c r="K827" i="13"/>
  <c r="K828" i="13"/>
  <c r="K829" i="13"/>
  <c r="K830" i="13"/>
  <c r="K831" i="13"/>
  <c r="K832" i="13"/>
  <c r="K833" i="13"/>
  <c r="K834" i="13"/>
  <c r="K835" i="13"/>
  <c r="K836" i="13"/>
  <c r="K837" i="13"/>
  <c r="K838" i="13"/>
  <c r="K839" i="13"/>
  <c r="K840" i="13"/>
  <c r="K841" i="13"/>
  <c r="K842" i="13"/>
  <c r="K843" i="13"/>
  <c r="K844" i="13"/>
  <c r="K845" i="13"/>
  <c r="K846" i="13"/>
  <c r="K847" i="13"/>
  <c r="K848" i="13"/>
  <c r="K849" i="13"/>
  <c r="K850" i="13"/>
  <c r="K851" i="13"/>
  <c r="K852" i="13"/>
  <c r="K853" i="13"/>
  <c r="K854" i="13"/>
  <c r="K855" i="13"/>
  <c r="K856" i="13"/>
  <c r="K857" i="13"/>
  <c r="K858" i="13"/>
  <c r="K859" i="13"/>
  <c r="K860" i="13"/>
  <c r="K861" i="13"/>
  <c r="K862" i="13"/>
  <c r="K863" i="13"/>
  <c r="K864" i="13"/>
  <c r="K865" i="13"/>
  <c r="K866" i="13"/>
  <c r="K867" i="13"/>
  <c r="K868" i="13"/>
  <c r="K869" i="13"/>
  <c r="K870" i="13"/>
  <c r="K871" i="13"/>
  <c r="K872" i="13"/>
  <c r="K873" i="13"/>
  <c r="K874" i="13"/>
  <c r="K875" i="13"/>
  <c r="K876" i="13"/>
  <c r="K877" i="13"/>
  <c r="K878" i="13"/>
  <c r="K879" i="13"/>
  <c r="K880" i="13"/>
  <c r="K881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1" i="13"/>
  <c r="K902" i="13"/>
  <c r="K903" i="13"/>
  <c r="K904" i="13"/>
  <c r="K905" i="13"/>
  <c r="K906" i="13"/>
  <c r="K907" i="13"/>
  <c r="K909" i="13"/>
  <c r="K910" i="13"/>
  <c r="K911" i="13"/>
  <c r="K912" i="13"/>
  <c r="K913" i="13"/>
  <c r="K914" i="13"/>
  <c r="K915" i="13"/>
  <c r="K916" i="13"/>
  <c r="K917" i="13"/>
  <c r="K918" i="13"/>
  <c r="K919" i="13"/>
  <c r="K920" i="13"/>
  <c r="K921" i="13"/>
  <c r="K922" i="13"/>
  <c r="K923" i="13"/>
  <c r="K924" i="13"/>
  <c r="K925" i="13"/>
  <c r="K926" i="13"/>
  <c r="K927" i="13"/>
  <c r="K928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3" i="13"/>
  <c r="K944" i="13"/>
  <c r="K945" i="13"/>
  <c r="K946" i="13"/>
  <c r="K947" i="13"/>
  <c r="K948" i="13"/>
  <c r="K949" i="13"/>
  <c r="K950" i="13"/>
  <c r="K951" i="13"/>
  <c r="K952" i="13"/>
  <c r="K953" i="13"/>
  <c r="K954" i="13"/>
  <c r="K955" i="13"/>
  <c r="K956" i="13"/>
  <c r="K957" i="13"/>
  <c r="K958" i="13"/>
  <c r="K959" i="13"/>
  <c r="K960" i="13"/>
  <c r="K961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6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7" i="13"/>
  <c r="K498" i="13"/>
  <c r="K499" i="13"/>
  <c r="K500" i="13"/>
  <c r="K501" i="13"/>
  <c r="K502" i="13"/>
  <c r="K503" i="13"/>
  <c r="K504" i="13"/>
  <c r="K505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6" i="13"/>
  <c r="K527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K540" i="13"/>
  <c r="K541" i="13"/>
  <c r="K542" i="13"/>
  <c r="K543" i="13"/>
  <c r="K544" i="13"/>
  <c r="K545" i="13"/>
  <c r="K546" i="13"/>
  <c r="K547" i="13"/>
  <c r="K548" i="13"/>
  <c r="K549" i="13"/>
  <c r="K550" i="13"/>
  <c r="K551" i="13"/>
  <c r="K553" i="13"/>
  <c r="K554" i="13"/>
  <c r="K555" i="13"/>
  <c r="K556" i="13"/>
  <c r="K557" i="13"/>
  <c r="K558" i="13"/>
  <c r="K559" i="13"/>
  <c r="K560" i="13"/>
  <c r="K561" i="13"/>
  <c r="K562" i="13"/>
  <c r="K563" i="13"/>
  <c r="K564" i="13"/>
  <c r="K565" i="13"/>
  <c r="K566" i="13"/>
  <c r="K567" i="13"/>
  <c r="K568" i="13"/>
  <c r="K569" i="13"/>
  <c r="K570" i="13"/>
  <c r="K571" i="13"/>
  <c r="K572" i="13"/>
  <c r="K573" i="13"/>
  <c r="K574" i="13"/>
  <c r="K575" i="13"/>
  <c r="K576" i="13"/>
  <c r="K577" i="13"/>
  <c r="K578" i="13"/>
  <c r="K579" i="13"/>
  <c r="K580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3" i="13"/>
  <c r="K594" i="13"/>
  <c r="K595" i="13"/>
  <c r="K596" i="13"/>
  <c r="K597" i="13"/>
  <c r="K598" i="13"/>
  <c r="K599" i="13"/>
  <c r="K600" i="13"/>
  <c r="K601" i="13"/>
  <c r="K602" i="13"/>
  <c r="K603" i="13"/>
  <c r="K604" i="13"/>
  <c r="K605" i="13"/>
  <c r="K606" i="13"/>
  <c r="K607" i="13"/>
  <c r="K608" i="13"/>
  <c r="K609" i="13"/>
  <c r="K610" i="13"/>
  <c r="K611" i="13"/>
  <c r="K612" i="13"/>
  <c r="K613" i="13"/>
  <c r="K614" i="13"/>
  <c r="K615" i="13"/>
  <c r="K616" i="13"/>
  <c r="K617" i="13"/>
  <c r="K618" i="13"/>
  <c r="K619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2" i="13"/>
  <c r="K673" i="13"/>
  <c r="K674" i="13"/>
  <c r="K675" i="13"/>
  <c r="K676" i="13"/>
  <c r="K677" i="13"/>
  <c r="K678" i="13"/>
  <c r="K679" i="13"/>
  <c r="K680" i="13"/>
  <c r="K681" i="13"/>
  <c r="K682" i="13"/>
  <c r="K683" i="13"/>
  <c r="K684" i="13"/>
  <c r="K685" i="13"/>
  <c r="K686" i="13"/>
  <c r="K687" i="13"/>
  <c r="K688" i="13"/>
  <c r="K689" i="13"/>
  <c r="K690" i="13"/>
  <c r="K691" i="13"/>
  <c r="K692" i="13"/>
  <c r="K693" i="13"/>
  <c r="K694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K720" i="13"/>
  <c r="K721" i="13"/>
  <c r="K722" i="13"/>
  <c r="K723" i="13"/>
  <c r="K724" i="13"/>
  <c r="K725" i="13"/>
  <c r="K726" i="13"/>
  <c r="K727" i="13"/>
  <c r="K728" i="13"/>
  <c r="K729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K458" i="13"/>
  <c r="K459" i="13"/>
  <c r="K460" i="13"/>
  <c r="K461" i="13"/>
  <c r="K462" i="13"/>
  <c r="K197" i="13" l="1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L989" i="6" l="1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988" i="6"/>
  <c r="K1436" i="6"/>
  <c r="L1436" i="6" s="1"/>
  <c r="K1437" i="6"/>
  <c r="L1437" i="6" s="1"/>
  <c r="K1438" i="6"/>
  <c r="L1438" i="6" s="1"/>
  <c r="K1439" i="6"/>
  <c r="L1439" i="6" s="1"/>
  <c r="K1440" i="6"/>
  <c r="L1440" i="6" s="1"/>
  <c r="K1441" i="6"/>
  <c r="L1441" i="6" s="1"/>
  <c r="K1442" i="6"/>
  <c r="L1442" i="6" s="1"/>
  <c r="K1443" i="6"/>
  <c r="L1443" i="6" s="1"/>
  <c r="K1444" i="6"/>
  <c r="L1444" i="6" s="1"/>
  <c r="K1445" i="6"/>
  <c r="L1445" i="6" s="1"/>
  <c r="K1446" i="6"/>
  <c r="L1446" i="6" s="1"/>
  <c r="K1447" i="6"/>
  <c r="L1447" i="6" s="1"/>
  <c r="K1448" i="6"/>
  <c r="L1448" i="6" s="1"/>
  <c r="K1449" i="6"/>
  <c r="L1449" i="6" s="1"/>
  <c r="K1450" i="6"/>
  <c r="L1450" i="6" s="1"/>
  <c r="K1451" i="6"/>
  <c r="L1451" i="6" s="1"/>
  <c r="K1452" i="6"/>
  <c r="L1452" i="6" s="1"/>
  <c r="K1453" i="6"/>
  <c r="L1453" i="6" s="1"/>
  <c r="K1454" i="6"/>
  <c r="L1454" i="6" s="1"/>
  <c r="K1455" i="6"/>
  <c r="L1455" i="6" s="1"/>
  <c r="K1456" i="6"/>
  <c r="L1456" i="6" s="1"/>
  <c r="K1457" i="6"/>
  <c r="L1457" i="6" s="1"/>
  <c r="K1458" i="6"/>
  <c r="L1458" i="6" s="1"/>
  <c r="K1459" i="6"/>
  <c r="L1459" i="6" s="1"/>
  <c r="K1460" i="6"/>
  <c r="L1460" i="6" s="1"/>
  <c r="K1461" i="6"/>
  <c r="L1461" i="6" s="1"/>
  <c r="K1462" i="6"/>
  <c r="L1462" i="6" s="1"/>
  <c r="K1463" i="6"/>
  <c r="L1463" i="6" s="1"/>
  <c r="K1464" i="6"/>
  <c r="L1464" i="6" s="1"/>
  <c r="K1465" i="6"/>
  <c r="L1465" i="6" s="1"/>
  <c r="K1466" i="6"/>
  <c r="L1466" i="6" s="1"/>
  <c r="K1467" i="6"/>
  <c r="L1467" i="6" s="1"/>
  <c r="K1468" i="6"/>
  <c r="L1468" i="6" s="1"/>
  <c r="K1469" i="6"/>
  <c r="L1469" i="6" s="1"/>
  <c r="K1470" i="6"/>
  <c r="L1470" i="6" s="1"/>
  <c r="K1471" i="6"/>
  <c r="L1471" i="6" s="1"/>
  <c r="K1472" i="6"/>
  <c r="L1472" i="6" s="1"/>
  <c r="K1473" i="6"/>
  <c r="L1473" i="6" s="1"/>
  <c r="K1474" i="6"/>
  <c r="L1474" i="6" s="1"/>
  <c r="K1475" i="6"/>
  <c r="L1475" i="6" s="1"/>
  <c r="K1476" i="6"/>
  <c r="L1476" i="6" s="1"/>
  <c r="K1477" i="6"/>
  <c r="L1477" i="6" s="1"/>
  <c r="K1478" i="6"/>
  <c r="L1478" i="6" s="1"/>
  <c r="K1479" i="6"/>
  <c r="L1479" i="6" s="1"/>
  <c r="K1480" i="6"/>
  <c r="L1480" i="6" s="1"/>
  <c r="K1481" i="6"/>
  <c r="L1481" i="6" s="1"/>
  <c r="K1482" i="6"/>
  <c r="L1482" i="6" s="1"/>
  <c r="K1483" i="6"/>
  <c r="L1483" i="6" s="1"/>
  <c r="K1484" i="6"/>
  <c r="L1484" i="6" s="1"/>
  <c r="K1485" i="6"/>
  <c r="L1485" i="6" s="1"/>
  <c r="K1486" i="6"/>
  <c r="L1486" i="6" s="1"/>
  <c r="K1435" i="6"/>
  <c r="L1435" i="6" s="1"/>
  <c r="K1330" i="6"/>
  <c r="L1330" i="6" s="1"/>
  <c r="K1331" i="6"/>
  <c r="L1331" i="6" s="1"/>
  <c r="K1332" i="6"/>
  <c r="L1332" i="6" s="1"/>
  <c r="K1333" i="6"/>
  <c r="L1333" i="6" s="1"/>
  <c r="K1334" i="6"/>
  <c r="L1334" i="6" s="1"/>
  <c r="K1335" i="6"/>
  <c r="L1335" i="6" s="1"/>
  <c r="K1336" i="6"/>
  <c r="L1336" i="6" s="1"/>
  <c r="K1337" i="6"/>
  <c r="L1337" i="6" s="1"/>
  <c r="K1338" i="6"/>
  <c r="L1338" i="6" s="1"/>
  <c r="K1339" i="6"/>
  <c r="L1339" i="6" s="1"/>
  <c r="K1340" i="6"/>
  <c r="L1340" i="6" s="1"/>
  <c r="K1341" i="6"/>
  <c r="L1341" i="6" s="1"/>
  <c r="K1342" i="6"/>
  <c r="L1342" i="6" s="1"/>
  <c r="K1343" i="6"/>
  <c r="L1343" i="6" s="1"/>
  <c r="K1344" i="6"/>
  <c r="L1344" i="6" s="1"/>
  <c r="K1345" i="6"/>
  <c r="L1345" i="6" s="1"/>
  <c r="K1346" i="6"/>
  <c r="L1346" i="6" s="1"/>
  <c r="K1347" i="6"/>
  <c r="L1347" i="6" s="1"/>
  <c r="K1348" i="6"/>
  <c r="L1348" i="6" s="1"/>
  <c r="K1349" i="6"/>
  <c r="L1349" i="6" s="1"/>
  <c r="K1350" i="6"/>
  <c r="L1350" i="6" s="1"/>
  <c r="K1351" i="6"/>
  <c r="L1351" i="6" s="1"/>
  <c r="K1352" i="6"/>
  <c r="L1352" i="6" s="1"/>
  <c r="K1353" i="6"/>
  <c r="L1353" i="6" s="1"/>
  <c r="K1354" i="6"/>
  <c r="L1354" i="6" s="1"/>
  <c r="K1355" i="6"/>
  <c r="L1355" i="6" s="1"/>
  <c r="K1356" i="6"/>
  <c r="L1356" i="6" s="1"/>
  <c r="K1357" i="6"/>
  <c r="L1357" i="6" s="1"/>
  <c r="K1358" i="6"/>
  <c r="L1358" i="6" s="1"/>
  <c r="K1359" i="6"/>
  <c r="L1359" i="6" s="1"/>
  <c r="K1360" i="6"/>
  <c r="L1360" i="6" s="1"/>
  <c r="K1361" i="6"/>
  <c r="L1361" i="6" s="1"/>
  <c r="K1362" i="6"/>
  <c r="L1362" i="6" s="1"/>
  <c r="K1363" i="6"/>
  <c r="L1363" i="6" s="1"/>
  <c r="K1364" i="6"/>
  <c r="L1364" i="6" s="1"/>
  <c r="K1365" i="6"/>
  <c r="L1365" i="6" s="1"/>
  <c r="K1366" i="6"/>
  <c r="L1366" i="6" s="1"/>
  <c r="K1367" i="6"/>
  <c r="L1367" i="6" s="1"/>
  <c r="K1368" i="6"/>
  <c r="L1368" i="6" s="1"/>
  <c r="K1369" i="6"/>
  <c r="L1369" i="6" s="1"/>
  <c r="K1370" i="6"/>
  <c r="L1370" i="6" s="1"/>
  <c r="K1371" i="6"/>
  <c r="L1371" i="6" s="1"/>
  <c r="K1372" i="6"/>
  <c r="L1372" i="6" s="1"/>
  <c r="K1373" i="6"/>
  <c r="L1373" i="6" s="1"/>
  <c r="K1374" i="6"/>
  <c r="L1374" i="6" s="1"/>
  <c r="K1375" i="6"/>
  <c r="L1375" i="6" s="1"/>
  <c r="K1376" i="6"/>
  <c r="L1376" i="6" s="1"/>
  <c r="K1377" i="6"/>
  <c r="L1377" i="6" s="1"/>
  <c r="K1378" i="6"/>
  <c r="L1378" i="6" s="1"/>
  <c r="K1379" i="6"/>
  <c r="L1379" i="6" s="1"/>
  <c r="K1380" i="6"/>
  <c r="L1380" i="6" s="1"/>
  <c r="K1329" i="6"/>
  <c r="L1329" i="6" s="1"/>
  <c r="K1224" i="6"/>
  <c r="L1224" i="6" s="1"/>
  <c r="K1225" i="6"/>
  <c r="L1225" i="6" s="1"/>
  <c r="K1226" i="6"/>
  <c r="L1226" i="6" s="1"/>
  <c r="K1227" i="6"/>
  <c r="L1227" i="6" s="1"/>
  <c r="K1228" i="6"/>
  <c r="L1228" i="6" s="1"/>
  <c r="K1229" i="6"/>
  <c r="L1229" i="6" s="1"/>
  <c r="K1230" i="6"/>
  <c r="L1230" i="6" s="1"/>
  <c r="K1231" i="6"/>
  <c r="L1231" i="6" s="1"/>
  <c r="K1232" i="6"/>
  <c r="L1232" i="6" s="1"/>
  <c r="K1233" i="6"/>
  <c r="L1233" i="6" s="1"/>
  <c r="K1234" i="6"/>
  <c r="L1234" i="6" s="1"/>
  <c r="K1235" i="6"/>
  <c r="L1235" i="6" s="1"/>
  <c r="K1236" i="6"/>
  <c r="L1236" i="6" s="1"/>
  <c r="K1237" i="6"/>
  <c r="L1237" i="6" s="1"/>
  <c r="K1238" i="6"/>
  <c r="L1238" i="6" s="1"/>
  <c r="K1239" i="6"/>
  <c r="L1239" i="6" s="1"/>
  <c r="K1240" i="6"/>
  <c r="L1240" i="6" s="1"/>
  <c r="K1241" i="6"/>
  <c r="L1241" i="6" s="1"/>
  <c r="K1242" i="6"/>
  <c r="L1242" i="6" s="1"/>
  <c r="K1243" i="6"/>
  <c r="L1243" i="6" s="1"/>
  <c r="K1244" i="6"/>
  <c r="L1244" i="6" s="1"/>
  <c r="K1245" i="6"/>
  <c r="L1245" i="6" s="1"/>
  <c r="K1246" i="6"/>
  <c r="L1246" i="6" s="1"/>
  <c r="K1247" i="6"/>
  <c r="L1247" i="6" s="1"/>
  <c r="K1248" i="6"/>
  <c r="L1248" i="6" s="1"/>
  <c r="K1249" i="6"/>
  <c r="L1249" i="6" s="1"/>
  <c r="K1250" i="6"/>
  <c r="L1250" i="6" s="1"/>
  <c r="K1251" i="6"/>
  <c r="L1251" i="6" s="1"/>
  <c r="K1252" i="6"/>
  <c r="L1252" i="6" s="1"/>
  <c r="K1253" i="6"/>
  <c r="L1253" i="6" s="1"/>
  <c r="K1254" i="6"/>
  <c r="L1254" i="6" s="1"/>
  <c r="K1255" i="6"/>
  <c r="L1255" i="6" s="1"/>
  <c r="K1256" i="6"/>
  <c r="L1256" i="6" s="1"/>
  <c r="K1257" i="6"/>
  <c r="L1257" i="6" s="1"/>
  <c r="K1258" i="6"/>
  <c r="L1258" i="6" s="1"/>
  <c r="K1259" i="6"/>
  <c r="L1259" i="6" s="1"/>
  <c r="K1260" i="6"/>
  <c r="L1260" i="6" s="1"/>
  <c r="K1261" i="6"/>
  <c r="L1261" i="6" s="1"/>
  <c r="K1262" i="6"/>
  <c r="L1262" i="6" s="1"/>
  <c r="K1263" i="6"/>
  <c r="L1263" i="6" s="1"/>
  <c r="K1264" i="6"/>
  <c r="L1264" i="6" s="1"/>
  <c r="K1265" i="6"/>
  <c r="L1265" i="6" s="1"/>
  <c r="K1266" i="6"/>
  <c r="L1266" i="6" s="1"/>
  <c r="K1267" i="6"/>
  <c r="L1267" i="6" s="1"/>
  <c r="K1268" i="6"/>
  <c r="L1268" i="6" s="1"/>
  <c r="K1269" i="6"/>
  <c r="L1269" i="6" s="1"/>
  <c r="K1270" i="6"/>
  <c r="L1270" i="6" s="1"/>
  <c r="K1271" i="6"/>
  <c r="L1271" i="6" s="1"/>
  <c r="K1272" i="6"/>
  <c r="L1272" i="6" s="1"/>
  <c r="K1273" i="6"/>
  <c r="L1273" i="6" s="1"/>
  <c r="K1274" i="6"/>
  <c r="L1274" i="6" s="1"/>
  <c r="K1223" i="6"/>
  <c r="L1223" i="6" s="1"/>
  <c r="K1137" i="6"/>
  <c r="L1137" i="6" s="1"/>
  <c r="K1138" i="6"/>
  <c r="L1138" i="6" s="1"/>
  <c r="K1139" i="6"/>
  <c r="L1139" i="6" s="1"/>
  <c r="K1140" i="6"/>
  <c r="L1140" i="6" s="1"/>
  <c r="K1141" i="6"/>
  <c r="L1141" i="6" s="1"/>
  <c r="K1142" i="6"/>
  <c r="L1142" i="6" s="1"/>
  <c r="K1143" i="6"/>
  <c r="L1143" i="6" s="1"/>
  <c r="K1144" i="6"/>
  <c r="L1144" i="6" s="1"/>
  <c r="K1145" i="6"/>
  <c r="L1145" i="6" s="1"/>
  <c r="K1146" i="6"/>
  <c r="L1146" i="6" s="1"/>
  <c r="K1147" i="6"/>
  <c r="L1147" i="6" s="1"/>
  <c r="K1148" i="6"/>
  <c r="L1148" i="6" s="1"/>
  <c r="K1149" i="6"/>
  <c r="L1149" i="6" s="1"/>
  <c r="K1150" i="6"/>
  <c r="L1150" i="6" s="1"/>
  <c r="K1151" i="6"/>
  <c r="L1151" i="6" s="1"/>
  <c r="K1152" i="6"/>
  <c r="L1152" i="6" s="1"/>
  <c r="K1153" i="6"/>
  <c r="L1153" i="6" s="1"/>
  <c r="K1154" i="6"/>
  <c r="L1154" i="6" s="1"/>
  <c r="K1155" i="6"/>
  <c r="L1155" i="6" s="1"/>
  <c r="K1156" i="6"/>
  <c r="L1156" i="6" s="1"/>
  <c r="K1157" i="6"/>
  <c r="L1157" i="6" s="1"/>
  <c r="K1158" i="6"/>
  <c r="L1158" i="6" s="1"/>
  <c r="K1159" i="6"/>
  <c r="L1159" i="6" s="1"/>
  <c r="K1160" i="6"/>
  <c r="L1160" i="6" s="1"/>
  <c r="K1161" i="6"/>
  <c r="L1161" i="6" s="1"/>
  <c r="K1162" i="6"/>
  <c r="L1162" i="6" s="1"/>
  <c r="K1163" i="6"/>
  <c r="L1163" i="6" s="1"/>
  <c r="K1164" i="6"/>
  <c r="L1164" i="6" s="1"/>
  <c r="K1165" i="6"/>
  <c r="L1165" i="6" s="1"/>
  <c r="K1166" i="6"/>
  <c r="L1166" i="6" s="1"/>
  <c r="K1167" i="6"/>
  <c r="L1167" i="6" s="1"/>
  <c r="K1168" i="6"/>
  <c r="L1168" i="6" s="1"/>
  <c r="K1136" i="6"/>
  <c r="L1136" i="6" s="1"/>
  <c r="K1080" i="6"/>
  <c r="L1080" i="6" s="1"/>
  <c r="K1081" i="6"/>
  <c r="L1081" i="6" s="1"/>
  <c r="K1082" i="6"/>
  <c r="L1082" i="6" s="1"/>
  <c r="K1083" i="6"/>
  <c r="L1083" i="6" s="1"/>
  <c r="K1084" i="6"/>
  <c r="L1084" i="6" s="1"/>
  <c r="K1085" i="6"/>
  <c r="L1085" i="6" s="1"/>
  <c r="K1086" i="6"/>
  <c r="L1086" i="6" s="1"/>
  <c r="K1087" i="6"/>
  <c r="L1087" i="6" s="1"/>
  <c r="K1088" i="6"/>
  <c r="L1088" i="6" s="1"/>
  <c r="K1089" i="6"/>
  <c r="L1089" i="6" s="1"/>
  <c r="K1090" i="6"/>
  <c r="L1090" i="6" s="1"/>
  <c r="K1091" i="6"/>
  <c r="L1091" i="6" s="1"/>
  <c r="K1092" i="6"/>
  <c r="L1092" i="6" s="1"/>
  <c r="K1093" i="6"/>
  <c r="L1093" i="6" s="1"/>
  <c r="K1094" i="6"/>
  <c r="L1094" i="6" s="1"/>
  <c r="K1095" i="6"/>
  <c r="L1095" i="6" s="1"/>
  <c r="K1096" i="6"/>
  <c r="L1096" i="6" s="1"/>
  <c r="K1097" i="6"/>
  <c r="L1097" i="6" s="1"/>
  <c r="K1098" i="6"/>
  <c r="L1098" i="6" s="1"/>
  <c r="K1099" i="6"/>
  <c r="L1099" i="6" s="1"/>
  <c r="K1100" i="6"/>
  <c r="L1100" i="6" s="1"/>
  <c r="K1079" i="6"/>
  <c r="L1079" i="6" s="1"/>
  <c r="K1023" i="6"/>
  <c r="L1023" i="6" s="1"/>
  <c r="K1024" i="6"/>
  <c r="L1024" i="6" s="1"/>
  <c r="K1025" i="6"/>
  <c r="L1025" i="6" s="1"/>
  <c r="K1026" i="6"/>
  <c r="L1026" i="6" s="1"/>
  <c r="K1027" i="6"/>
  <c r="L1027" i="6" s="1"/>
  <c r="K1028" i="6"/>
  <c r="L1028" i="6" s="1"/>
  <c r="K1029" i="6"/>
  <c r="L1029" i="6" s="1"/>
  <c r="K1030" i="6"/>
  <c r="L1030" i="6" s="1"/>
  <c r="K1031" i="6"/>
  <c r="L1031" i="6" s="1"/>
  <c r="K1032" i="6"/>
  <c r="L1032" i="6" s="1"/>
  <c r="K1033" i="6"/>
  <c r="L1033" i="6" s="1"/>
  <c r="K1034" i="6"/>
  <c r="L1034" i="6" s="1"/>
  <c r="K1035" i="6"/>
  <c r="L1035" i="6" s="1"/>
  <c r="K1036" i="6"/>
  <c r="L1036" i="6" s="1"/>
  <c r="K1037" i="6"/>
  <c r="L1037" i="6" s="1"/>
  <c r="K1038" i="6"/>
  <c r="L1038" i="6" s="1"/>
  <c r="K1039" i="6"/>
  <c r="L1039" i="6" s="1"/>
  <c r="K1040" i="6"/>
  <c r="L1040" i="6" s="1"/>
  <c r="K1041" i="6"/>
  <c r="L1041" i="6" s="1"/>
  <c r="K1042" i="6"/>
  <c r="L1042" i="6" s="1"/>
  <c r="K1043" i="6"/>
  <c r="L1043" i="6" s="1"/>
  <c r="K1044" i="6"/>
  <c r="L1044" i="6" s="1"/>
  <c r="K1045" i="6"/>
  <c r="L1045" i="6" s="1"/>
  <c r="K1046" i="6"/>
  <c r="L1046" i="6" s="1"/>
  <c r="K1047" i="6"/>
  <c r="L1047" i="6" s="1"/>
  <c r="K1048" i="6"/>
  <c r="L1048" i="6" s="1"/>
  <c r="K1049" i="6"/>
  <c r="L1049" i="6" s="1"/>
  <c r="K1050" i="6"/>
  <c r="L1050" i="6" s="1"/>
  <c r="K1051" i="6"/>
  <c r="L1051" i="6" s="1"/>
  <c r="K1052" i="6"/>
  <c r="L1052" i="6" s="1"/>
  <c r="K1053" i="6"/>
  <c r="L1053" i="6" s="1"/>
  <c r="K1054" i="6"/>
  <c r="L1054" i="6" s="1"/>
  <c r="K1022" i="6"/>
  <c r="L1022" i="6" s="1"/>
  <c r="J18" i="6"/>
  <c r="J19" i="6"/>
  <c r="J20" i="6"/>
  <c r="J21" i="6"/>
  <c r="J22" i="6"/>
  <c r="J23" i="6"/>
  <c r="J24" i="6"/>
  <c r="J25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5" i="6"/>
  <c r="K65" i="6" s="1"/>
  <c r="J66" i="6"/>
  <c r="K66" i="6" s="1"/>
  <c r="J67" i="6"/>
  <c r="K67" i="6" s="1"/>
  <c r="J68" i="6"/>
  <c r="K68" i="6" s="1"/>
  <c r="J69" i="6"/>
  <c r="K69" i="6" s="1"/>
  <c r="J70" i="6"/>
  <c r="K70" i="6" s="1"/>
  <c r="J71" i="6"/>
  <c r="K71" i="6" s="1"/>
  <c r="J72" i="6"/>
  <c r="K72" i="6" s="1"/>
  <c r="J73" i="6"/>
  <c r="K73" i="6" s="1"/>
  <c r="J74" i="6"/>
  <c r="K74" i="6" s="1"/>
  <c r="J75" i="6"/>
  <c r="K75" i="6" s="1"/>
  <c r="J76" i="6"/>
  <c r="K76" i="6" s="1"/>
  <c r="J77" i="6"/>
  <c r="K77" i="6" s="1"/>
  <c r="J78" i="6"/>
  <c r="K78" i="6" s="1"/>
  <c r="J79" i="6"/>
  <c r="K79" i="6" s="1"/>
  <c r="J80" i="6"/>
  <c r="K80" i="6" s="1"/>
  <c r="J81" i="6"/>
  <c r="K81" i="6" s="1"/>
  <c r="J82" i="6"/>
  <c r="K82" i="6" s="1"/>
  <c r="J83" i="6"/>
  <c r="K83" i="6" s="1"/>
  <c r="J84" i="6"/>
  <c r="K84" i="6" s="1"/>
  <c r="J85" i="6"/>
  <c r="K85" i="6" s="1"/>
  <c r="J86" i="6"/>
  <c r="K86" i="6" s="1"/>
  <c r="J87" i="6"/>
  <c r="K87" i="6" s="1"/>
  <c r="J88" i="6"/>
  <c r="K88" i="6" s="1"/>
  <c r="J89" i="6"/>
  <c r="K89" i="6" s="1"/>
  <c r="J90" i="6"/>
  <c r="K90" i="6" s="1"/>
  <c r="J91" i="6"/>
  <c r="K91" i="6" s="1"/>
  <c r="J92" i="6"/>
  <c r="K92" i="6" s="1"/>
  <c r="J93" i="6"/>
  <c r="K93" i="6" s="1"/>
  <c r="J94" i="6"/>
  <c r="K94" i="6" s="1"/>
  <c r="J95" i="6"/>
  <c r="K95" i="6" s="1"/>
  <c r="J96" i="6"/>
  <c r="K96" i="6" s="1"/>
  <c r="J97" i="6"/>
  <c r="K97" i="6" s="1"/>
  <c r="J98" i="6"/>
  <c r="K98" i="6" s="1"/>
  <c r="J99" i="6"/>
  <c r="K99" i="6" s="1"/>
  <c r="J100" i="6"/>
  <c r="K100" i="6" s="1"/>
  <c r="J101" i="6"/>
  <c r="K101" i="6" s="1"/>
  <c r="J102" i="6"/>
  <c r="K102" i="6" s="1"/>
  <c r="J103" i="6"/>
  <c r="K103" i="6" s="1"/>
  <c r="J104" i="6"/>
  <c r="K104" i="6" s="1"/>
  <c r="J105" i="6"/>
  <c r="K105" i="6" s="1"/>
  <c r="J106" i="6"/>
  <c r="K106" i="6" s="1"/>
  <c r="J107" i="6"/>
  <c r="K107" i="6" s="1"/>
  <c r="J108" i="6"/>
  <c r="K108" i="6" s="1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4" i="6"/>
  <c r="K144" i="6" s="1"/>
  <c r="J145" i="6"/>
  <c r="K145" i="6" s="1"/>
  <c r="J146" i="6"/>
  <c r="K146" i="6" s="1"/>
  <c r="J147" i="6"/>
  <c r="K147" i="6" s="1"/>
  <c r="J148" i="6"/>
  <c r="K148" i="6" s="1"/>
  <c r="J149" i="6"/>
  <c r="K149" i="6" s="1"/>
  <c r="J150" i="6"/>
  <c r="K150" i="6" s="1"/>
  <c r="J151" i="6"/>
  <c r="K151" i="6" s="1"/>
  <c r="J152" i="6"/>
  <c r="K152" i="6" s="1"/>
  <c r="J153" i="6"/>
  <c r="K153" i="6" s="1"/>
  <c r="J154" i="6"/>
  <c r="K154" i="6" s="1"/>
  <c r="J155" i="6"/>
  <c r="K155" i="6" s="1"/>
  <c r="J156" i="6"/>
  <c r="K156" i="6" s="1"/>
  <c r="J157" i="6"/>
  <c r="K157" i="6" s="1"/>
  <c r="J158" i="6"/>
  <c r="K158" i="6" s="1"/>
  <c r="J159" i="6"/>
  <c r="K159" i="6" s="1"/>
  <c r="J160" i="6"/>
  <c r="K160" i="6" s="1"/>
  <c r="J161" i="6"/>
  <c r="K161" i="6" s="1"/>
  <c r="J162" i="6"/>
  <c r="K162" i="6" s="1"/>
  <c r="J163" i="6"/>
  <c r="K163" i="6" s="1"/>
  <c r="J164" i="6"/>
  <c r="K164" i="6" s="1"/>
  <c r="J165" i="6"/>
  <c r="K165" i="6" s="1"/>
  <c r="J166" i="6"/>
  <c r="K166" i="6" s="1"/>
  <c r="J167" i="6"/>
  <c r="K167" i="6" s="1"/>
  <c r="J168" i="6"/>
  <c r="K168" i="6" s="1"/>
  <c r="J169" i="6"/>
  <c r="K169" i="6" s="1"/>
  <c r="J170" i="6"/>
  <c r="K170" i="6" s="1"/>
  <c r="J171" i="6"/>
  <c r="K171" i="6" s="1"/>
  <c r="J172" i="6"/>
  <c r="K172" i="6" s="1"/>
  <c r="J173" i="6"/>
  <c r="K173" i="6" s="1"/>
  <c r="J174" i="6"/>
  <c r="K174" i="6" s="1"/>
  <c r="J175" i="6"/>
  <c r="K175" i="6" s="1"/>
  <c r="J176" i="6"/>
  <c r="K176" i="6" s="1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I3" i="16"/>
  <c r="J195" i="13" l="1"/>
  <c r="K195" i="13" s="1"/>
  <c r="J194" i="13"/>
  <c r="K194" i="13" s="1"/>
  <c r="J193" i="13"/>
  <c r="K193" i="13" s="1"/>
  <c r="J192" i="13"/>
  <c r="K192" i="13" s="1"/>
  <c r="J191" i="13"/>
  <c r="K191" i="13" s="1"/>
  <c r="J190" i="13"/>
  <c r="K190" i="13" s="1"/>
  <c r="J81" i="13"/>
  <c r="K81" i="13" s="1"/>
  <c r="J80" i="13"/>
  <c r="K80" i="13" s="1"/>
  <c r="J77" i="13"/>
  <c r="K77" i="13" s="1"/>
  <c r="J76" i="13"/>
  <c r="K76" i="13" s="1"/>
  <c r="J72" i="13"/>
  <c r="K72" i="13" s="1"/>
  <c r="J70" i="13"/>
  <c r="K70" i="13" s="1"/>
  <c r="J67" i="13"/>
  <c r="K67" i="13" s="1"/>
  <c r="J65" i="13"/>
  <c r="K65" i="13" s="1"/>
  <c r="J62" i="13"/>
  <c r="K62" i="13" s="1"/>
  <c r="J57" i="13"/>
  <c r="K57" i="13" s="1"/>
  <c r="J51" i="13"/>
  <c r="K51" i="13" s="1"/>
  <c r="J45" i="13"/>
  <c r="J44" i="13"/>
  <c r="J33" i="13"/>
  <c r="J29" i="13"/>
  <c r="J28" i="13"/>
  <c r="J24" i="13"/>
  <c r="J15" i="13"/>
  <c r="J14" i="13"/>
  <c r="J13" i="13"/>
  <c r="J12" i="13"/>
  <c r="J11" i="13"/>
  <c r="J10" i="13"/>
  <c r="K4" i="13"/>
  <c r="K5" i="13"/>
  <c r="K6" i="13"/>
  <c r="K7" i="13"/>
  <c r="K8" i="13"/>
  <c r="K10" i="13"/>
  <c r="K11" i="13"/>
  <c r="K12" i="13"/>
  <c r="K13" i="13"/>
  <c r="K14" i="13"/>
  <c r="K15" i="13"/>
  <c r="K17" i="13"/>
  <c r="K18" i="13"/>
  <c r="K19" i="13"/>
  <c r="K21" i="13"/>
  <c r="K22" i="13"/>
  <c r="K23" i="13"/>
  <c r="K24" i="13"/>
  <c r="K26" i="13"/>
  <c r="K27" i="13"/>
  <c r="K28" i="13"/>
  <c r="K29" i="13"/>
  <c r="K31" i="13"/>
  <c r="K32" i="13"/>
  <c r="K33" i="13"/>
  <c r="K35" i="13"/>
  <c r="K36" i="13"/>
  <c r="K38" i="13"/>
  <c r="K39" i="13"/>
  <c r="K41" i="13"/>
  <c r="K42" i="13"/>
  <c r="K44" i="13"/>
  <c r="K45" i="13"/>
  <c r="K47" i="13"/>
  <c r="K48" i="13"/>
  <c r="K50" i="13"/>
  <c r="K53" i="13"/>
  <c r="K54" i="13"/>
  <c r="K56" i="13"/>
  <c r="K59" i="13"/>
  <c r="K61" i="13"/>
  <c r="K64" i="13"/>
  <c r="K66" i="13"/>
  <c r="K69" i="13"/>
  <c r="K71" i="13"/>
  <c r="K74" i="13"/>
  <c r="K75" i="13"/>
  <c r="K78" i="13"/>
  <c r="K79" i="13"/>
  <c r="K83" i="13"/>
  <c r="K84" i="13"/>
  <c r="K85" i="13"/>
  <c r="K86" i="13"/>
  <c r="K88" i="13"/>
  <c r="K89" i="13"/>
  <c r="K90" i="13"/>
  <c r="K91" i="13"/>
  <c r="K3" i="13"/>
  <c r="J188" i="13"/>
  <c r="K188" i="13" s="1"/>
  <c r="J186" i="13"/>
  <c r="K186" i="13" s="1"/>
  <c r="J184" i="13"/>
  <c r="K184" i="13" s="1"/>
  <c r="J182" i="13"/>
  <c r="K182" i="13" s="1"/>
  <c r="J180" i="13"/>
  <c r="K180" i="13" s="1"/>
  <c r="J178" i="13"/>
  <c r="K178" i="13" s="1"/>
  <c r="J176" i="13"/>
  <c r="K176" i="13" s="1"/>
  <c r="J174" i="13"/>
  <c r="K174" i="13" s="1"/>
  <c r="J172" i="13"/>
  <c r="K172" i="13" s="1"/>
  <c r="J170" i="13"/>
  <c r="K170" i="13" s="1"/>
  <c r="J168" i="13"/>
  <c r="K168" i="13" s="1"/>
  <c r="J166" i="13"/>
  <c r="K166" i="13" s="1"/>
  <c r="J164" i="13"/>
  <c r="K164" i="13" s="1"/>
  <c r="J162" i="13"/>
  <c r="K162" i="13" s="1"/>
  <c r="J160" i="13"/>
  <c r="K160" i="13" s="1"/>
  <c r="J158" i="13"/>
  <c r="K158" i="13" s="1"/>
  <c r="J156" i="13"/>
  <c r="K156" i="13" s="1"/>
  <c r="J154" i="13"/>
  <c r="K154" i="13" s="1"/>
  <c r="J152" i="13"/>
  <c r="K152" i="13" s="1"/>
  <c r="J150" i="13"/>
  <c r="K150" i="13" s="1"/>
  <c r="J148" i="13"/>
  <c r="K148" i="13" s="1"/>
  <c r="J146" i="13"/>
  <c r="K146" i="13" s="1"/>
  <c r="J144" i="13"/>
  <c r="K144" i="13" s="1"/>
  <c r="J142" i="13"/>
  <c r="K142" i="13" s="1"/>
  <c r="J140" i="13"/>
  <c r="K140" i="13" s="1"/>
  <c r="J138" i="13"/>
  <c r="K138" i="13" s="1"/>
  <c r="J136" i="13"/>
  <c r="K136" i="13" s="1"/>
  <c r="J134" i="13"/>
  <c r="K134" i="13" s="1"/>
  <c r="J132" i="13"/>
  <c r="K132" i="13" s="1"/>
  <c r="J130" i="13"/>
  <c r="K130" i="13" s="1"/>
  <c r="J128" i="13"/>
  <c r="K128" i="13" s="1"/>
  <c r="J126" i="13"/>
  <c r="K126" i="13" s="1"/>
  <c r="J124" i="13"/>
  <c r="K124" i="13" s="1"/>
  <c r="J122" i="13"/>
  <c r="K122" i="13" s="1"/>
  <c r="J120" i="13"/>
  <c r="K120" i="13" s="1"/>
  <c r="J118" i="13"/>
  <c r="K118" i="13" s="1"/>
  <c r="J116" i="13"/>
  <c r="K116" i="13" s="1"/>
  <c r="J114" i="13"/>
  <c r="K114" i="13" s="1"/>
  <c r="J112" i="13"/>
  <c r="K112" i="13" s="1"/>
  <c r="J110" i="13"/>
  <c r="K110" i="13" s="1"/>
  <c r="J108" i="13"/>
  <c r="K108" i="13" s="1"/>
  <c r="J106" i="13"/>
  <c r="K106" i="13" s="1"/>
  <c r="J104" i="13"/>
  <c r="K104" i="13" s="1"/>
  <c r="J102" i="13"/>
  <c r="K102" i="13" s="1"/>
  <c r="J100" i="13"/>
  <c r="K100" i="13" s="1"/>
  <c r="J98" i="13"/>
  <c r="K98" i="13" s="1"/>
  <c r="J96" i="13"/>
  <c r="K96" i="13" s="1"/>
  <c r="J94" i="13"/>
  <c r="K94" i="13" s="1"/>
  <c r="I147" i="12"/>
  <c r="I149" i="12"/>
  <c r="I151" i="12"/>
  <c r="I153" i="12"/>
  <c r="I155" i="12"/>
  <c r="I157" i="12"/>
  <c r="I159" i="12"/>
  <c r="I161" i="12"/>
  <c r="I163" i="12"/>
  <c r="I165" i="12"/>
  <c r="I167" i="12"/>
  <c r="I169" i="12"/>
  <c r="I171" i="12"/>
  <c r="I173" i="12"/>
  <c r="I175" i="12"/>
  <c r="I177" i="12"/>
  <c r="I179" i="12"/>
  <c r="I181" i="12"/>
  <c r="I183" i="12"/>
  <c r="I185" i="12"/>
  <c r="I187" i="12"/>
  <c r="I189" i="12"/>
  <c r="I191" i="12"/>
  <c r="I193" i="12"/>
  <c r="I195" i="12"/>
  <c r="I197" i="12"/>
  <c r="I199" i="12"/>
  <c r="I201" i="12"/>
  <c r="I203" i="12"/>
  <c r="I205" i="12"/>
  <c r="I207" i="12"/>
  <c r="I209" i="12"/>
  <c r="I211" i="12"/>
  <c r="I213" i="12"/>
  <c r="I215" i="12"/>
  <c r="I217" i="12"/>
  <c r="I219" i="12"/>
  <c r="I221" i="12"/>
  <c r="I223" i="12"/>
  <c r="I225" i="12"/>
  <c r="I227" i="12"/>
  <c r="I229" i="12"/>
  <c r="I231" i="12"/>
  <c r="I233" i="12"/>
  <c r="I235" i="12"/>
  <c r="I237" i="12"/>
  <c r="I239" i="12"/>
  <c r="I241" i="12"/>
  <c r="I243" i="12"/>
  <c r="I245" i="12"/>
  <c r="I247" i="12"/>
  <c r="I249" i="12"/>
  <c r="I251" i="12"/>
  <c r="I253" i="12"/>
  <c r="I255" i="12"/>
  <c r="I257" i="12"/>
  <c r="I259" i="12"/>
  <c r="I261" i="12"/>
  <c r="I263" i="12"/>
  <c r="I265" i="12"/>
  <c r="I267" i="12"/>
  <c r="I269" i="12"/>
  <c r="I271" i="12"/>
  <c r="I273" i="12"/>
  <c r="I275" i="12"/>
  <c r="I277" i="12"/>
  <c r="I279" i="12"/>
  <c r="I281" i="12"/>
  <c r="I283" i="12"/>
  <c r="I285" i="12"/>
  <c r="I287" i="12"/>
  <c r="I289" i="12"/>
  <c r="H5" i="12"/>
  <c r="H7" i="12"/>
  <c r="H9" i="12"/>
  <c r="H11" i="12"/>
  <c r="H13" i="12"/>
  <c r="H15" i="12"/>
  <c r="H17" i="12"/>
  <c r="H19" i="12"/>
  <c r="H21" i="12"/>
  <c r="H23" i="12"/>
  <c r="H25" i="12"/>
  <c r="H27" i="12"/>
  <c r="H29" i="12"/>
  <c r="H31" i="12"/>
  <c r="H33" i="12"/>
  <c r="H35" i="12"/>
  <c r="H37" i="12"/>
  <c r="H39" i="12"/>
  <c r="H41" i="12"/>
  <c r="H43" i="12"/>
  <c r="H45" i="12"/>
  <c r="H47" i="12"/>
  <c r="H49" i="12"/>
  <c r="H51" i="12"/>
  <c r="H53" i="12"/>
  <c r="H55" i="12"/>
  <c r="H57" i="12"/>
  <c r="H59" i="12"/>
  <c r="H61" i="12"/>
  <c r="H63" i="12"/>
  <c r="H65" i="12"/>
  <c r="H67" i="12"/>
  <c r="H69" i="12"/>
  <c r="H71" i="12"/>
  <c r="H73" i="12"/>
  <c r="H75" i="12"/>
  <c r="H77" i="12"/>
  <c r="H79" i="12"/>
  <c r="H81" i="12"/>
  <c r="H83" i="12"/>
  <c r="H85" i="12"/>
  <c r="H87" i="12"/>
  <c r="H89" i="12"/>
  <c r="H91" i="12"/>
  <c r="H93" i="12"/>
  <c r="H95" i="12"/>
  <c r="H97" i="12"/>
  <c r="H99" i="12"/>
  <c r="H101" i="12"/>
  <c r="H103" i="12"/>
  <c r="H105" i="12"/>
  <c r="H107" i="12"/>
  <c r="H109" i="12"/>
  <c r="H111" i="12"/>
  <c r="H113" i="12"/>
  <c r="H115" i="12"/>
  <c r="H117" i="12"/>
  <c r="H119" i="12"/>
  <c r="H120" i="12"/>
  <c r="H121" i="12"/>
  <c r="H123" i="12"/>
  <c r="H125" i="12"/>
  <c r="H127" i="12"/>
  <c r="H129" i="12"/>
  <c r="H131" i="12"/>
  <c r="H133" i="12"/>
  <c r="H135" i="12"/>
  <c r="H137" i="12"/>
  <c r="H139" i="12"/>
  <c r="H141" i="12"/>
  <c r="H143" i="12"/>
  <c r="H145" i="12"/>
  <c r="H147" i="12"/>
  <c r="H149" i="12"/>
  <c r="H151" i="12"/>
  <c r="H153" i="12"/>
  <c r="H155" i="12"/>
  <c r="H157" i="12"/>
  <c r="H159" i="12"/>
  <c r="H161" i="12"/>
  <c r="H163" i="12"/>
  <c r="H165" i="12"/>
  <c r="H167" i="12"/>
  <c r="H169" i="12"/>
  <c r="H171" i="12"/>
  <c r="H173" i="12"/>
  <c r="H175" i="12"/>
  <c r="H177" i="12"/>
  <c r="H179" i="12"/>
  <c r="H181" i="12"/>
  <c r="H183" i="12"/>
  <c r="H185" i="12"/>
  <c r="H187" i="12"/>
  <c r="H189" i="12"/>
  <c r="H191" i="12"/>
  <c r="H193" i="12"/>
  <c r="H195" i="12"/>
  <c r="H197" i="12"/>
  <c r="H199" i="12"/>
  <c r="H201" i="12"/>
  <c r="H203" i="12"/>
  <c r="H205" i="12"/>
  <c r="H207" i="12"/>
  <c r="H209" i="12"/>
  <c r="H211" i="12"/>
  <c r="H213" i="12"/>
  <c r="H215" i="12"/>
  <c r="H217" i="12"/>
  <c r="H219" i="12"/>
  <c r="H221" i="12"/>
  <c r="H223" i="12"/>
  <c r="H225" i="12"/>
  <c r="H227" i="12"/>
  <c r="H229" i="12"/>
  <c r="H231" i="12"/>
  <c r="H233" i="12"/>
  <c r="H235" i="12"/>
  <c r="H237" i="12"/>
  <c r="H239" i="12"/>
  <c r="H241" i="12"/>
  <c r="H243" i="12"/>
  <c r="H245" i="12"/>
  <c r="H247" i="12"/>
  <c r="H249" i="12"/>
  <c r="H251" i="12"/>
  <c r="H253" i="12"/>
  <c r="H255" i="12"/>
  <c r="H257" i="12"/>
  <c r="H259" i="12"/>
  <c r="H261" i="12"/>
  <c r="H263" i="12"/>
  <c r="H265" i="12"/>
  <c r="H267" i="12"/>
  <c r="H269" i="12"/>
  <c r="H271" i="12"/>
  <c r="H273" i="12"/>
  <c r="H275" i="12"/>
  <c r="H277" i="12"/>
  <c r="H279" i="12"/>
  <c r="H281" i="12"/>
  <c r="H283" i="12"/>
  <c r="H285" i="12"/>
  <c r="H287" i="12"/>
  <c r="H289" i="12"/>
  <c r="H3" i="12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3" i="14"/>
  <c r="I4" i="14"/>
  <c r="I5" i="14"/>
  <c r="I6" i="14"/>
  <c r="I7" i="14"/>
  <c r="I8" i="14"/>
  <c r="I9" i="14"/>
  <c r="I2" i="14"/>
  <c r="H3" i="14"/>
  <c r="H4" i="14"/>
  <c r="H5" i="14"/>
  <c r="H6" i="14"/>
  <c r="H7" i="14"/>
  <c r="H8" i="14"/>
  <c r="H9" i="14"/>
  <c r="H10" i="14"/>
  <c r="H11" i="14"/>
  <c r="H12" i="14"/>
  <c r="H13" i="14"/>
  <c r="H16" i="14"/>
  <c r="H17" i="14"/>
  <c r="H18" i="14"/>
  <c r="H19" i="14"/>
  <c r="H20" i="14"/>
  <c r="H21" i="14"/>
  <c r="H22" i="14"/>
  <c r="H23" i="14"/>
  <c r="H24" i="14"/>
  <c r="H25" i="14"/>
  <c r="H2" i="14"/>
  <c r="I21" i="15"/>
  <c r="I9" i="15"/>
  <c r="J105" i="13" l="1"/>
  <c r="K105" i="13" s="1"/>
  <c r="J137" i="13"/>
  <c r="K137" i="13" s="1"/>
  <c r="J121" i="13"/>
  <c r="K121" i="13" s="1"/>
  <c r="J97" i="13"/>
  <c r="K97" i="13" s="1"/>
  <c r="J113" i="13"/>
  <c r="K113" i="13" s="1"/>
  <c r="J129" i="13"/>
  <c r="K129" i="13" s="1"/>
  <c r="J141" i="13"/>
  <c r="K141" i="13" s="1"/>
  <c r="J143" i="13"/>
  <c r="K143" i="13" s="1"/>
  <c r="J145" i="13"/>
  <c r="K145" i="13" s="1"/>
  <c r="J147" i="13"/>
  <c r="K147" i="13" s="1"/>
  <c r="J149" i="13"/>
  <c r="K149" i="13" s="1"/>
  <c r="J151" i="13"/>
  <c r="K151" i="13" s="1"/>
  <c r="J153" i="13"/>
  <c r="K153" i="13" s="1"/>
  <c r="J155" i="13"/>
  <c r="K155" i="13" s="1"/>
  <c r="J157" i="13"/>
  <c r="K157" i="13" s="1"/>
  <c r="J159" i="13"/>
  <c r="K159" i="13" s="1"/>
  <c r="J161" i="13"/>
  <c r="K161" i="13" s="1"/>
  <c r="J163" i="13"/>
  <c r="K163" i="13" s="1"/>
  <c r="J165" i="13"/>
  <c r="K165" i="13" s="1"/>
  <c r="J167" i="13"/>
  <c r="K167" i="13" s="1"/>
  <c r="J169" i="13"/>
  <c r="K169" i="13" s="1"/>
  <c r="J171" i="13"/>
  <c r="K171" i="13" s="1"/>
  <c r="J173" i="13"/>
  <c r="K173" i="13" s="1"/>
  <c r="J175" i="13"/>
  <c r="K175" i="13" s="1"/>
  <c r="J177" i="13"/>
  <c r="K177" i="13" s="1"/>
  <c r="J179" i="13"/>
  <c r="K179" i="13" s="1"/>
  <c r="J181" i="13"/>
  <c r="K181" i="13" s="1"/>
  <c r="J183" i="13"/>
  <c r="K183" i="13" s="1"/>
  <c r="J185" i="13"/>
  <c r="K185" i="13" s="1"/>
  <c r="J187" i="13"/>
  <c r="K187" i="13" s="1"/>
  <c r="J93" i="13"/>
  <c r="K93" i="13" s="1"/>
  <c r="J101" i="13"/>
  <c r="K101" i="13" s="1"/>
  <c r="J109" i="13"/>
  <c r="K109" i="13" s="1"/>
  <c r="J117" i="13"/>
  <c r="K117" i="13" s="1"/>
  <c r="J125" i="13"/>
  <c r="K125" i="13" s="1"/>
  <c r="J133" i="13"/>
  <c r="K133" i="13" s="1"/>
  <c r="J95" i="13"/>
  <c r="K95" i="13" s="1"/>
  <c r="J99" i="13"/>
  <c r="K99" i="13" s="1"/>
  <c r="J103" i="13"/>
  <c r="K103" i="13" s="1"/>
  <c r="J107" i="13"/>
  <c r="K107" i="13" s="1"/>
  <c r="J111" i="13"/>
  <c r="K111" i="13" s="1"/>
  <c r="J115" i="13"/>
  <c r="K115" i="13" s="1"/>
  <c r="J119" i="13"/>
  <c r="K119" i="13" s="1"/>
  <c r="J123" i="13"/>
  <c r="K123" i="13" s="1"/>
  <c r="J127" i="13"/>
  <c r="K127" i="13" s="1"/>
  <c r="J131" i="13"/>
  <c r="K131" i="13" s="1"/>
  <c r="J135" i="13"/>
  <c r="K135" i="13" s="1"/>
  <c r="J139" i="13"/>
  <c r="K139" i="13" s="1"/>
  <c r="I137" i="15"/>
  <c r="I133" i="15"/>
  <c r="I131" i="15"/>
  <c r="I101" i="15"/>
  <c r="I100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I105" i="15"/>
  <c r="I104" i="15"/>
  <c r="I103" i="15"/>
  <c r="I102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85" i="15"/>
  <c r="I84" i="15"/>
  <c r="I83" i="15"/>
  <c r="I82" i="15"/>
  <c r="I81" i="15"/>
  <c r="I80" i="15"/>
  <c r="I79" i="15"/>
  <c r="I78" i="15"/>
  <c r="I77" i="15"/>
  <c r="I76" i="15"/>
  <c r="I68" i="15"/>
  <c r="I74" i="15" s="1"/>
  <c r="I67" i="15"/>
  <c r="I73" i="15" s="1"/>
  <c r="I66" i="15"/>
  <c r="I72" i="15" s="1"/>
  <c r="I65" i="15"/>
  <c r="I71" i="15" s="1"/>
  <c r="I64" i="15"/>
  <c r="I70" i="15" s="1"/>
  <c r="I63" i="15"/>
  <c r="I69" i="15" s="1"/>
  <c r="I56" i="15"/>
  <c r="I62" i="15" s="1"/>
  <c r="I55" i="15"/>
  <c r="I61" i="15" s="1"/>
  <c r="I54" i="15"/>
  <c r="I60" i="15" s="1"/>
  <c r="I53" i="15"/>
  <c r="I59" i="15" s="1"/>
  <c r="I52" i="15"/>
  <c r="I58" i="15" s="1"/>
  <c r="I51" i="15"/>
  <c r="I57" i="15" s="1"/>
  <c r="I44" i="15"/>
  <c r="I50" i="15" s="1"/>
  <c r="I43" i="15"/>
  <c r="I49" i="15" s="1"/>
  <c r="I42" i="15"/>
  <c r="I48" i="15" s="1"/>
  <c r="I41" i="15"/>
  <c r="I47" i="15" s="1"/>
  <c r="I40" i="15"/>
  <c r="I46" i="15" s="1"/>
  <c r="I39" i="15"/>
  <c r="I45" i="15" s="1"/>
  <c r="I32" i="15"/>
  <c r="I38" i="15" s="1"/>
  <c r="I31" i="15"/>
  <c r="I37" i="15" s="1"/>
  <c r="I30" i="15"/>
  <c r="I36" i="15" s="1"/>
  <c r="I29" i="15"/>
  <c r="I35" i="15" s="1"/>
  <c r="I28" i="15"/>
  <c r="I34" i="15" s="1"/>
  <c r="I27" i="15"/>
  <c r="I33" i="15" s="1"/>
  <c r="I20" i="15"/>
  <c r="I26" i="15" s="1"/>
  <c r="I19" i="15"/>
  <c r="I25" i="15" s="1"/>
  <c r="I18" i="15"/>
  <c r="I24" i="15" s="1"/>
  <c r="I17" i="15"/>
  <c r="I23" i="15" s="1"/>
  <c r="I16" i="15"/>
  <c r="I22" i="15" s="1"/>
  <c r="I15" i="15"/>
  <c r="I3" i="15"/>
  <c r="I4" i="15"/>
  <c r="I10" i="15" s="1"/>
  <c r="I8" i="15"/>
  <c r="I14" i="15" s="1"/>
  <c r="I7" i="15"/>
  <c r="I13" i="15" s="1"/>
  <c r="I6" i="15"/>
  <c r="I12" i="15" s="1"/>
  <c r="I5" i="15"/>
  <c r="I11" i="15" s="1"/>
  <c r="J131" i="15" l="1"/>
  <c r="J133" i="15"/>
  <c r="J137" i="15"/>
  <c r="J12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76" i="15"/>
  <c r="J4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3" i="15"/>
  <c r="I119" i="15"/>
  <c r="J119" i="15" s="1"/>
  <c r="I120" i="15"/>
  <c r="J120" i="15" s="1"/>
  <c r="I121" i="15"/>
  <c r="J121" i="15" s="1"/>
  <c r="I122" i="15"/>
  <c r="J122" i="15" s="1"/>
  <c r="I123" i="15"/>
  <c r="J123" i="15" s="1"/>
  <c r="I124" i="15"/>
  <c r="J124" i="15" s="1"/>
  <c r="I125" i="15"/>
  <c r="J125" i="15" s="1"/>
  <c r="I127" i="15"/>
  <c r="J127" i="15" s="1"/>
  <c r="I128" i="15"/>
  <c r="J128" i="15" s="1"/>
  <c r="I130" i="15"/>
  <c r="J130" i="15" s="1"/>
  <c r="I132" i="15"/>
  <c r="J132" i="15" s="1"/>
  <c r="I134" i="15"/>
  <c r="J134" i="15" s="1"/>
  <c r="I135" i="15"/>
  <c r="J135" i="15" s="1"/>
  <c r="I136" i="15"/>
  <c r="J136" i="15" s="1"/>
  <c r="K23" i="6"/>
  <c r="K18" i="6"/>
  <c r="K19" i="6"/>
  <c r="K20" i="6"/>
  <c r="K21" i="6"/>
  <c r="K22" i="6"/>
  <c r="K24" i="6"/>
  <c r="K25" i="6"/>
  <c r="I64" i="6"/>
  <c r="I109" i="6"/>
  <c r="I256" i="6"/>
  <c r="I309" i="6"/>
  <c r="I362" i="6"/>
  <c r="I415" i="6"/>
  <c r="I468" i="6"/>
  <c r="I521" i="6"/>
  <c r="I574" i="6"/>
  <c r="I599" i="6"/>
  <c r="I624" i="6"/>
  <c r="I641" i="6"/>
  <c r="I658" i="6"/>
  <c r="I683" i="6"/>
  <c r="I704" i="6"/>
  <c r="I729" i="6"/>
  <c r="I754" i="6"/>
  <c r="I775" i="6"/>
  <c r="I828" i="6"/>
  <c r="I881" i="6"/>
  <c r="I934" i="6"/>
  <c r="H10" i="15" l="1"/>
  <c r="H9" i="15" s="1"/>
  <c r="H12" i="15"/>
  <c r="H11" i="15" s="1"/>
  <c r="H14" i="15"/>
  <c r="H13" i="15" s="1"/>
  <c r="H22" i="15"/>
  <c r="H21" i="15" s="1"/>
  <c r="H24" i="15"/>
  <c r="H23" i="15" s="1"/>
  <c r="H26" i="15"/>
  <c r="H25" i="15" s="1"/>
  <c r="H34" i="15"/>
  <c r="H33" i="15" s="1"/>
  <c r="H36" i="15"/>
  <c r="H35" i="15" s="1"/>
  <c r="H38" i="15"/>
  <c r="H37" i="15" s="1"/>
  <c r="H46" i="15"/>
  <c r="H45" i="15" s="1"/>
  <c r="H48" i="15"/>
  <c r="H47" i="15" s="1"/>
  <c r="H50" i="15"/>
  <c r="H49" i="15" s="1"/>
  <c r="H58" i="15"/>
  <c r="H57" i="15" s="1"/>
  <c r="H60" i="15"/>
  <c r="H59" i="15" s="1"/>
  <c r="H62" i="15"/>
  <c r="H61" i="15" s="1"/>
  <c r="H70" i="15"/>
  <c r="H69" i="15" s="1"/>
  <c r="H72" i="15"/>
  <c r="H71" i="15" s="1"/>
  <c r="H74" i="15"/>
  <c r="H73" i="15" s="1"/>
  <c r="H101" i="15"/>
  <c r="H100" i="15"/>
  <c r="H114" i="15"/>
  <c r="H113" i="15"/>
  <c r="H66" i="13"/>
  <c r="I66" i="13" s="1"/>
  <c r="H65" i="13"/>
  <c r="I65" i="13" s="1"/>
  <c r="H62" i="13"/>
  <c r="I62" i="13" s="1"/>
  <c r="H51" i="13"/>
  <c r="I51" i="13" s="1"/>
  <c r="H29" i="13"/>
  <c r="I29" i="13" s="1"/>
  <c r="H28" i="13"/>
  <c r="I28" i="13" s="1"/>
  <c r="H15" i="13"/>
  <c r="I15" i="13" s="1"/>
  <c r="H14" i="13"/>
  <c r="I14" i="13" s="1"/>
  <c r="H13" i="13"/>
  <c r="I13" i="13" s="1"/>
  <c r="H12" i="13"/>
  <c r="I12" i="13" s="1"/>
  <c r="H11" i="13"/>
  <c r="I11" i="13" s="1"/>
  <c r="H10" i="13"/>
  <c r="I10" i="13" s="1"/>
  <c r="H70" i="13"/>
  <c r="I70" i="13" s="1"/>
  <c r="H77" i="13"/>
  <c r="I77" i="13" s="1"/>
  <c r="H76" i="13"/>
  <c r="I76" i="13" s="1"/>
  <c r="H113" i="6"/>
  <c r="H121" i="6"/>
  <c r="H122" i="6"/>
  <c r="H123" i="6"/>
  <c r="H124" i="6"/>
  <c r="H132" i="6"/>
  <c r="H133" i="6"/>
  <c r="H134" i="6"/>
  <c r="H135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8" i="6"/>
  <c r="H179" i="6"/>
  <c r="H180" i="6"/>
  <c r="H181" i="6"/>
  <c r="H189" i="6"/>
  <c r="H190" i="6"/>
  <c r="H191" i="6"/>
  <c r="H192" i="6"/>
  <c r="H200" i="6"/>
  <c r="H201" i="6"/>
  <c r="H202" i="6"/>
  <c r="H203" i="6"/>
  <c r="H212" i="6"/>
  <c r="I212" i="6" s="1"/>
  <c r="H213" i="6"/>
  <c r="I213" i="6" s="1"/>
  <c r="H214" i="6"/>
  <c r="I214" i="6" s="1"/>
  <c r="H215" i="6"/>
  <c r="I215" i="6" s="1"/>
  <c r="H216" i="6"/>
  <c r="I216" i="6" s="1"/>
  <c r="H217" i="6"/>
  <c r="I217" i="6" s="1"/>
  <c r="H218" i="6"/>
  <c r="I218" i="6" s="1"/>
  <c r="H219" i="6"/>
  <c r="I219" i="6" s="1"/>
  <c r="H220" i="6"/>
  <c r="I220" i="6" s="1"/>
  <c r="H221" i="6"/>
  <c r="I221" i="6" s="1"/>
  <c r="H222" i="6"/>
  <c r="I222" i="6" s="1"/>
  <c r="H223" i="6"/>
  <c r="I223" i="6" s="1"/>
  <c r="H224" i="6"/>
  <c r="I224" i="6" s="1"/>
  <c r="H225" i="6"/>
  <c r="I225" i="6" s="1"/>
  <c r="H226" i="6"/>
  <c r="I226" i="6" s="1"/>
  <c r="H227" i="6"/>
  <c r="I227" i="6" s="1"/>
  <c r="H228" i="6"/>
  <c r="I228" i="6" s="1"/>
  <c r="H229" i="6"/>
  <c r="I229" i="6" s="1"/>
  <c r="H230" i="6"/>
  <c r="I230" i="6" s="1"/>
  <c r="H231" i="6"/>
  <c r="I231" i="6" s="1"/>
  <c r="H232" i="6"/>
  <c r="I232" i="6" s="1"/>
  <c r="H233" i="6"/>
  <c r="I233" i="6" s="1"/>
  <c r="H234" i="6"/>
  <c r="I234" i="6" s="1"/>
  <c r="H235" i="6"/>
  <c r="I235" i="6" s="1"/>
  <c r="H236" i="6"/>
  <c r="I236" i="6" s="1"/>
  <c r="H237" i="6"/>
  <c r="I237" i="6" s="1"/>
  <c r="H238" i="6"/>
  <c r="I238" i="6" s="1"/>
  <c r="H239" i="6"/>
  <c r="I239" i="6" s="1"/>
  <c r="H240" i="6"/>
  <c r="I240" i="6" s="1"/>
  <c r="H241" i="6"/>
  <c r="I241" i="6" s="1"/>
  <c r="H242" i="6"/>
  <c r="I242" i="6" s="1"/>
  <c r="H243" i="6"/>
  <c r="I243" i="6" s="1"/>
  <c r="H244" i="6"/>
  <c r="I244" i="6" s="1"/>
  <c r="H245" i="6"/>
  <c r="I245" i="6" s="1"/>
  <c r="H246" i="6"/>
  <c r="I246" i="6" s="1"/>
  <c r="H247" i="6"/>
  <c r="I247" i="6" s="1"/>
  <c r="H248" i="6"/>
  <c r="I248" i="6" s="1"/>
  <c r="H249" i="6"/>
  <c r="I249" i="6" s="1"/>
  <c r="H250" i="6"/>
  <c r="I250" i="6" s="1"/>
  <c r="H251" i="6"/>
  <c r="I251" i="6" s="1"/>
  <c r="H252" i="6"/>
  <c r="I252" i="6" s="1"/>
  <c r="H253" i="6"/>
  <c r="I253" i="6" s="1"/>
  <c r="H254" i="6"/>
  <c r="I254" i="6" s="1"/>
  <c r="H255" i="6"/>
  <c r="I255" i="6" s="1"/>
  <c r="H522" i="6"/>
  <c r="I522" i="6" s="1"/>
  <c r="H523" i="6"/>
  <c r="I523" i="6" s="1"/>
  <c r="H536" i="6"/>
  <c r="I536" i="6" s="1"/>
  <c r="H575" i="6"/>
  <c r="I575" i="6" s="1"/>
  <c r="H576" i="6"/>
  <c r="I576" i="6" s="1"/>
  <c r="H577" i="6"/>
  <c r="I577" i="6" s="1"/>
  <c r="H578" i="6"/>
  <c r="I578" i="6" s="1"/>
  <c r="H579" i="6"/>
  <c r="I579" i="6" s="1"/>
  <c r="H580" i="6"/>
  <c r="I580" i="6" s="1"/>
  <c r="H581" i="6"/>
  <c r="I581" i="6" s="1"/>
  <c r="H582" i="6"/>
  <c r="I582" i="6" s="1"/>
  <c r="H583" i="6"/>
  <c r="I583" i="6" s="1"/>
  <c r="H584" i="6"/>
  <c r="I584" i="6" s="1"/>
  <c r="H585" i="6"/>
  <c r="I585" i="6" s="1"/>
  <c r="H586" i="6"/>
  <c r="I586" i="6" s="1"/>
  <c r="H587" i="6"/>
  <c r="I587" i="6" s="1"/>
  <c r="H588" i="6"/>
  <c r="I588" i="6" s="1"/>
  <c r="H589" i="6"/>
  <c r="I589" i="6" s="1"/>
  <c r="H590" i="6"/>
  <c r="I590" i="6" s="1"/>
  <c r="H591" i="6"/>
  <c r="I591" i="6" s="1"/>
  <c r="H592" i="6"/>
  <c r="I592" i="6" s="1"/>
  <c r="H593" i="6"/>
  <c r="I593" i="6" s="1"/>
  <c r="H594" i="6"/>
  <c r="I594" i="6" s="1"/>
  <c r="H595" i="6"/>
  <c r="I595" i="6" s="1"/>
  <c r="H596" i="6"/>
  <c r="I596" i="6" s="1"/>
  <c r="H597" i="6"/>
  <c r="I597" i="6" s="1"/>
  <c r="H598" i="6"/>
  <c r="I598" i="6" s="1"/>
  <c r="H600" i="6"/>
  <c r="I600" i="6" s="1"/>
  <c r="H601" i="6"/>
  <c r="I601" i="6" s="1"/>
  <c r="H602" i="6"/>
  <c r="I602" i="6" s="1"/>
  <c r="H603" i="6"/>
  <c r="I603" i="6" s="1"/>
  <c r="H604" i="6"/>
  <c r="I604" i="6" s="1"/>
  <c r="H605" i="6"/>
  <c r="I605" i="6" s="1"/>
  <c r="H606" i="6"/>
  <c r="I606" i="6" s="1"/>
  <c r="H607" i="6"/>
  <c r="I607" i="6" s="1"/>
  <c r="H608" i="6"/>
  <c r="I608" i="6" s="1"/>
  <c r="H609" i="6"/>
  <c r="I609" i="6" s="1"/>
  <c r="H610" i="6"/>
  <c r="I610" i="6" s="1"/>
  <c r="H611" i="6"/>
  <c r="I611" i="6" s="1"/>
  <c r="H612" i="6"/>
  <c r="I612" i="6" s="1"/>
  <c r="H613" i="6"/>
  <c r="I613" i="6" s="1"/>
  <c r="H614" i="6"/>
  <c r="I614" i="6" s="1"/>
  <c r="H615" i="6"/>
  <c r="I615" i="6" s="1"/>
  <c r="H616" i="6"/>
  <c r="I616" i="6" s="1"/>
  <c r="H617" i="6"/>
  <c r="I617" i="6" s="1"/>
  <c r="H618" i="6"/>
  <c r="I618" i="6" s="1"/>
  <c r="H619" i="6"/>
  <c r="I619" i="6" s="1"/>
  <c r="H620" i="6"/>
  <c r="I620" i="6" s="1"/>
  <c r="H621" i="6"/>
  <c r="I621" i="6" s="1"/>
  <c r="H622" i="6"/>
  <c r="I622" i="6" s="1"/>
  <c r="H623" i="6"/>
  <c r="I623" i="6" s="1"/>
  <c r="H625" i="6"/>
  <c r="I625" i="6" s="1"/>
  <c r="H626" i="6"/>
  <c r="I626" i="6" s="1"/>
  <c r="H627" i="6"/>
  <c r="I627" i="6" s="1"/>
  <c r="H628" i="6"/>
  <c r="I628" i="6" s="1"/>
  <c r="H629" i="6"/>
  <c r="I629" i="6" s="1"/>
  <c r="H630" i="6"/>
  <c r="I630" i="6" s="1"/>
  <c r="H631" i="6"/>
  <c r="I631" i="6" s="1"/>
  <c r="H632" i="6"/>
  <c r="I632" i="6" s="1"/>
  <c r="H633" i="6"/>
  <c r="I633" i="6" s="1"/>
  <c r="H634" i="6"/>
  <c r="I634" i="6" s="1"/>
  <c r="H635" i="6"/>
  <c r="I635" i="6" s="1"/>
  <c r="H636" i="6"/>
  <c r="I636" i="6" s="1"/>
  <c r="H637" i="6"/>
  <c r="I637" i="6" s="1"/>
  <c r="H638" i="6"/>
  <c r="I638" i="6" s="1"/>
  <c r="H639" i="6"/>
  <c r="I639" i="6" s="1"/>
  <c r="H640" i="6"/>
  <c r="I640" i="6" s="1"/>
  <c r="H642" i="6"/>
  <c r="I642" i="6" s="1"/>
  <c r="H643" i="6"/>
  <c r="I643" i="6" s="1"/>
  <c r="H644" i="6"/>
  <c r="I644" i="6" s="1"/>
  <c r="H645" i="6"/>
  <c r="I645" i="6" s="1"/>
  <c r="H646" i="6"/>
  <c r="I646" i="6" s="1"/>
  <c r="H647" i="6"/>
  <c r="I647" i="6" s="1"/>
  <c r="H648" i="6"/>
  <c r="I648" i="6" s="1"/>
  <c r="H649" i="6"/>
  <c r="I649" i="6" s="1"/>
  <c r="H650" i="6"/>
  <c r="I650" i="6" s="1"/>
  <c r="H651" i="6"/>
  <c r="I651" i="6" s="1"/>
  <c r="H652" i="6"/>
  <c r="I652" i="6" s="1"/>
  <c r="H653" i="6"/>
  <c r="I653" i="6" s="1"/>
  <c r="H654" i="6"/>
  <c r="I654" i="6" s="1"/>
  <c r="H655" i="6"/>
  <c r="I655" i="6" s="1"/>
  <c r="H656" i="6"/>
  <c r="I656" i="6" s="1"/>
  <c r="H657" i="6"/>
  <c r="I657" i="6" s="1"/>
  <c r="H659" i="6"/>
  <c r="I659" i="6" s="1"/>
  <c r="H660" i="6"/>
  <c r="I660" i="6" s="1"/>
  <c r="H661" i="6"/>
  <c r="I661" i="6" s="1"/>
  <c r="H662" i="6"/>
  <c r="I662" i="6" s="1"/>
  <c r="H663" i="6"/>
  <c r="I663" i="6" s="1"/>
  <c r="H664" i="6"/>
  <c r="I664" i="6" s="1"/>
  <c r="H665" i="6"/>
  <c r="I665" i="6" s="1"/>
  <c r="H666" i="6"/>
  <c r="I666" i="6" s="1"/>
  <c r="H667" i="6"/>
  <c r="I667" i="6" s="1"/>
  <c r="H668" i="6"/>
  <c r="I668" i="6" s="1"/>
  <c r="H669" i="6"/>
  <c r="I669" i="6" s="1"/>
  <c r="H670" i="6"/>
  <c r="I670" i="6" s="1"/>
  <c r="H671" i="6"/>
  <c r="I671" i="6" s="1"/>
  <c r="H672" i="6"/>
  <c r="I672" i="6" s="1"/>
  <c r="H673" i="6"/>
  <c r="I673" i="6" s="1"/>
  <c r="H674" i="6"/>
  <c r="I674" i="6" s="1"/>
  <c r="H675" i="6"/>
  <c r="I675" i="6" s="1"/>
  <c r="H676" i="6"/>
  <c r="I676" i="6" s="1"/>
  <c r="H677" i="6"/>
  <c r="I677" i="6" s="1"/>
  <c r="H678" i="6"/>
  <c r="I678" i="6" s="1"/>
  <c r="H679" i="6"/>
  <c r="I679" i="6" s="1"/>
  <c r="H680" i="6"/>
  <c r="I680" i="6" s="1"/>
  <c r="H681" i="6"/>
  <c r="I681" i="6" s="1"/>
  <c r="H682" i="6"/>
  <c r="I682" i="6" s="1"/>
  <c r="H684" i="6"/>
  <c r="I684" i="6" s="1"/>
  <c r="H685" i="6"/>
  <c r="I685" i="6" s="1"/>
  <c r="H686" i="6"/>
  <c r="I686" i="6" s="1"/>
  <c r="H687" i="6"/>
  <c r="I687" i="6" s="1"/>
  <c r="H688" i="6"/>
  <c r="I688" i="6" s="1"/>
  <c r="H689" i="6"/>
  <c r="I689" i="6" s="1"/>
  <c r="H690" i="6"/>
  <c r="I690" i="6" s="1"/>
  <c r="H691" i="6"/>
  <c r="I691" i="6" s="1"/>
  <c r="H692" i="6"/>
  <c r="I692" i="6" s="1"/>
  <c r="H693" i="6"/>
  <c r="I693" i="6" s="1"/>
  <c r="H694" i="6"/>
  <c r="I694" i="6" s="1"/>
  <c r="H695" i="6"/>
  <c r="I695" i="6" s="1"/>
  <c r="H696" i="6"/>
  <c r="I696" i="6" s="1"/>
  <c r="H697" i="6"/>
  <c r="I697" i="6" s="1"/>
  <c r="H698" i="6"/>
  <c r="I698" i="6" s="1"/>
  <c r="H699" i="6"/>
  <c r="I699" i="6" s="1"/>
  <c r="H700" i="6"/>
  <c r="I700" i="6" s="1"/>
  <c r="H701" i="6"/>
  <c r="I701" i="6" s="1"/>
  <c r="H702" i="6"/>
  <c r="I702" i="6" s="1"/>
  <c r="H703" i="6"/>
  <c r="I703" i="6" s="1"/>
  <c r="H705" i="6"/>
  <c r="I705" i="6" s="1"/>
  <c r="H706" i="6"/>
  <c r="I706" i="6" s="1"/>
  <c r="H707" i="6"/>
  <c r="I707" i="6" s="1"/>
  <c r="H708" i="6"/>
  <c r="I708" i="6" s="1"/>
  <c r="H709" i="6"/>
  <c r="I709" i="6" s="1"/>
  <c r="H710" i="6"/>
  <c r="I710" i="6" s="1"/>
  <c r="H711" i="6"/>
  <c r="I711" i="6" s="1"/>
  <c r="H712" i="6"/>
  <c r="I712" i="6" s="1"/>
  <c r="H713" i="6"/>
  <c r="I713" i="6" s="1"/>
  <c r="H714" i="6"/>
  <c r="I714" i="6" s="1"/>
  <c r="H715" i="6"/>
  <c r="I715" i="6" s="1"/>
  <c r="H716" i="6"/>
  <c r="I716" i="6" s="1"/>
  <c r="H717" i="6"/>
  <c r="I717" i="6" s="1"/>
  <c r="H718" i="6"/>
  <c r="I718" i="6" s="1"/>
  <c r="H719" i="6"/>
  <c r="I719" i="6" s="1"/>
  <c r="H720" i="6"/>
  <c r="I720" i="6" s="1"/>
  <c r="H721" i="6"/>
  <c r="I721" i="6" s="1"/>
  <c r="H722" i="6"/>
  <c r="I722" i="6" s="1"/>
  <c r="H723" i="6"/>
  <c r="I723" i="6" s="1"/>
  <c r="H724" i="6"/>
  <c r="I724" i="6" s="1"/>
  <c r="H725" i="6"/>
  <c r="I725" i="6" s="1"/>
  <c r="H726" i="6"/>
  <c r="I726" i="6" s="1"/>
  <c r="H727" i="6"/>
  <c r="I727" i="6" s="1"/>
  <c r="H728" i="6"/>
  <c r="I728" i="6" s="1"/>
  <c r="H730" i="6"/>
  <c r="I730" i="6" s="1"/>
  <c r="H731" i="6"/>
  <c r="I731" i="6" s="1"/>
  <c r="H732" i="6"/>
  <c r="I732" i="6" s="1"/>
  <c r="H733" i="6"/>
  <c r="I733" i="6" s="1"/>
  <c r="H734" i="6"/>
  <c r="I734" i="6" s="1"/>
  <c r="H735" i="6"/>
  <c r="I735" i="6" s="1"/>
  <c r="H736" i="6"/>
  <c r="I736" i="6" s="1"/>
  <c r="H737" i="6"/>
  <c r="I737" i="6" s="1"/>
  <c r="H738" i="6"/>
  <c r="I738" i="6" s="1"/>
  <c r="H739" i="6"/>
  <c r="I739" i="6" s="1"/>
  <c r="H740" i="6"/>
  <c r="I740" i="6" s="1"/>
  <c r="H741" i="6"/>
  <c r="I741" i="6" s="1"/>
  <c r="H742" i="6"/>
  <c r="I742" i="6" s="1"/>
  <c r="H743" i="6"/>
  <c r="I743" i="6" s="1"/>
  <c r="H744" i="6"/>
  <c r="I744" i="6" s="1"/>
  <c r="H745" i="6"/>
  <c r="I745" i="6" s="1"/>
  <c r="H746" i="6"/>
  <c r="I746" i="6" s="1"/>
  <c r="H747" i="6"/>
  <c r="I747" i="6" s="1"/>
  <c r="H748" i="6"/>
  <c r="I748" i="6" s="1"/>
  <c r="H749" i="6"/>
  <c r="I749" i="6" s="1"/>
  <c r="H750" i="6"/>
  <c r="I750" i="6" s="1"/>
  <c r="H751" i="6"/>
  <c r="I751" i="6" s="1"/>
  <c r="H752" i="6"/>
  <c r="I752" i="6" s="1"/>
  <c r="H753" i="6"/>
  <c r="I753" i="6" s="1"/>
  <c r="H755" i="6"/>
  <c r="I755" i="6" s="1"/>
  <c r="H756" i="6"/>
  <c r="I756" i="6" s="1"/>
  <c r="H757" i="6"/>
  <c r="I757" i="6" s="1"/>
  <c r="H758" i="6"/>
  <c r="I758" i="6" s="1"/>
  <c r="H759" i="6"/>
  <c r="I759" i="6" s="1"/>
  <c r="H760" i="6"/>
  <c r="I760" i="6" s="1"/>
  <c r="H761" i="6"/>
  <c r="I761" i="6" s="1"/>
  <c r="H762" i="6"/>
  <c r="I762" i="6" s="1"/>
  <c r="H763" i="6"/>
  <c r="I763" i="6" s="1"/>
  <c r="H764" i="6"/>
  <c r="I764" i="6" s="1"/>
  <c r="H765" i="6"/>
  <c r="I765" i="6" s="1"/>
  <c r="H766" i="6"/>
  <c r="I766" i="6" s="1"/>
  <c r="H767" i="6"/>
  <c r="I767" i="6" s="1"/>
  <c r="H768" i="6"/>
  <c r="I768" i="6" s="1"/>
  <c r="H769" i="6"/>
  <c r="I769" i="6" s="1"/>
  <c r="H770" i="6"/>
  <c r="I770" i="6" s="1"/>
  <c r="H771" i="6"/>
  <c r="I771" i="6" s="1"/>
  <c r="H772" i="6"/>
  <c r="I772" i="6" s="1"/>
  <c r="H773" i="6"/>
  <c r="I773" i="6" s="1"/>
  <c r="H774" i="6"/>
  <c r="I774" i="6" s="1"/>
  <c r="H776" i="6"/>
  <c r="I776" i="6" s="1"/>
  <c r="H777" i="6"/>
  <c r="I777" i="6" s="1"/>
  <c r="H778" i="6"/>
  <c r="I778" i="6" s="1"/>
  <c r="H779" i="6"/>
  <c r="I779" i="6" s="1"/>
  <c r="H780" i="6"/>
  <c r="I780" i="6" s="1"/>
  <c r="H781" i="6"/>
  <c r="I781" i="6" s="1"/>
  <c r="H782" i="6"/>
  <c r="I782" i="6" s="1"/>
  <c r="H783" i="6"/>
  <c r="I783" i="6" s="1"/>
  <c r="H784" i="6"/>
  <c r="I784" i="6" s="1"/>
  <c r="H785" i="6"/>
  <c r="I785" i="6" s="1"/>
  <c r="H786" i="6"/>
  <c r="I786" i="6" s="1"/>
  <c r="H787" i="6"/>
  <c r="I787" i="6" s="1"/>
  <c r="H788" i="6"/>
  <c r="I788" i="6" s="1"/>
  <c r="H789" i="6"/>
  <c r="I789" i="6" s="1"/>
  <c r="H790" i="6"/>
  <c r="I790" i="6" s="1"/>
  <c r="H791" i="6"/>
  <c r="I791" i="6" s="1"/>
  <c r="H792" i="6"/>
  <c r="I792" i="6" s="1"/>
  <c r="H793" i="6"/>
  <c r="I793" i="6" s="1"/>
  <c r="H794" i="6"/>
  <c r="I794" i="6" s="1"/>
  <c r="H795" i="6"/>
  <c r="I795" i="6" s="1"/>
  <c r="H796" i="6"/>
  <c r="I796" i="6" s="1"/>
  <c r="H797" i="6"/>
  <c r="I797" i="6" s="1"/>
  <c r="H798" i="6"/>
  <c r="I798" i="6" s="1"/>
  <c r="H799" i="6"/>
  <c r="I799" i="6" s="1"/>
  <c r="H800" i="6"/>
  <c r="I800" i="6" s="1"/>
  <c r="H801" i="6"/>
  <c r="I801" i="6" s="1"/>
  <c r="H802" i="6"/>
  <c r="I802" i="6" s="1"/>
  <c r="H803" i="6"/>
  <c r="I803" i="6" s="1"/>
  <c r="H804" i="6"/>
  <c r="I804" i="6" s="1"/>
  <c r="H805" i="6"/>
  <c r="I805" i="6" s="1"/>
  <c r="H806" i="6"/>
  <c r="I806" i="6" s="1"/>
  <c r="H807" i="6"/>
  <c r="I807" i="6" s="1"/>
  <c r="H808" i="6"/>
  <c r="I808" i="6" s="1"/>
  <c r="H809" i="6"/>
  <c r="I809" i="6" s="1"/>
  <c r="H810" i="6"/>
  <c r="I810" i="6" s="1"/>
  <c r="H811" i="6"/>
  <c r="I811" i="6" s="1"/>
  <c r="H812" i="6"/>
  <c r="I812" i="6" s="1"/>
  <c r="H813" i="6"/>
  <c r="I813" i="6" s="1"/>
  <c r="H814" i="6"/>
  <c r="I814" i="6" s="1"/>
  <c r="H815" i="6"/>
  <c r="I815" i="6" s="1"/>
  <c r="H816" i="6"/>
  <c r="I816" i="6" s="1"/>
  <c r="H817" i="6"/>
  <c r="I817" i="6" s="1"/>
  <c r="H818" i="6"/>
  <c r="I818" i="6" s="1"/>
  <c r="H819" i="6"/>
  <c r="I819" i="6" s="1"/>
  <c r="H820" i="6"/>
  <c r="I820" i="6" s="1"/>
  <c r="H821" i="6"/>
  <c r="I821" i="6" s="1"/>
  <c r="H822" i="6"/>
  <c r="I822" i="6" s="1"/>
  <c r="H823" i="6"/>
  <c r="I823" i="6" s="1"/>
  <c r="H824" i="6"/>
  <c r="I824" i="6" s="1"/>
  <c r="H825" i="6"/>
  <c r="I825" i="6" s="1"/>
  <c r="H826" i="6"/>
  <c r="I826" i="6" s="1"/>
  <c r="H827" i="6"/>
  <c r="I827" i="6" s="1"/>
  <c r="H829" i="6"/>
  <c r="I829" i="6" s="1"/>
  <c r="H830" i="6"/>
  <c r="I830" i="6" s="1"/>
  <c r="H831" i="6"/>
  <c r="I831" i="6" s="1"/>
  <c r="H832" i="6"/>
  <c r="I832" i="6" s="1"/>
  <c r="H833" i="6"/>
  <c r="I833" i="6" s="1"/>
  <c r="H834" i="6"/>
  <c r="I834" i="6" s="1"/>
  <c r="H835" i="6"/>
  <c r="I835" i="6" s="1"/>
  <c r="H836" i="6"/>
  <c r="I836" i="6" s="1"/>
  <c r="H837" i="6"/>
  <c r="I837" i="6" s="1"/>
  <c r="H838" i="6"/>
  <c r="I838" i="6" s="1"/>
  <c r="H839" i="6"/>
  <c r="I839" i="6" s="1"/>
  <c r="H840" i="6"/>
  <c r="I840" i="6" s="1"/>
  <c r="H841" i="6"/>
  <c r="I841" i="6" s="1"/>
  <c r="H842" i="6"/>
  <c r="I842" i="6" s="1"/>
  <c r="H843" i="6"/>
  <c r="I843" i="6" s="1"/>
  <c r="H844" i="6"/>
  <c r="I844" i="6" s="1"/>
  <c r="H845" i="6"/>
  <c r="I845" i="6" s="1"/>
  <c r="H846" i="6"/>
  <c r="I846" i="6" s="1"/>
  <c r="H847" i="6"/>
  <c r="I847" i="6" s="1"/>
  <c r="H848" i="6"/>
  <c r="I848" i="6" s="1"/>
  <c r="H849" i="6"/>
  <c r="I849" i="6" s="1"/>
  <c r="H850" i="6"/>
  <c r="I850" i="6" s="1"/>
  <c r="H851" i="6"/>
  <c r="I851" i="6" s="1"/>
  <c r="H852" i="6"/>
  <c r="I852" i="6" s="1"/>
  <c r="H853" i="6"/>
  <c r="I853" i="6" s="1"/>
  <c r="H854" i="6"/>
  <c r="I854" i="6" s="1"/>
  <c r="H855" i="6"/>
  <c r="I855" i="6" s="1"/>
  <c r="H856" i="6"/>
  <c r="I856" i="6" s="1"/>
  <c r="H857" i="6"/>
  <c r="I857" i="6" s="1"/>
  <c r="H858" i="6"/>
  <c r="I858" i="6" s="1"/>
  <c r="H859" i="6"/>
  <c r="I859" i="6" s="1"/>
  <c r="H860" i="6"/>
  <c r="I860" i="6" s="1"/>
  <c r="H861" i="6"/>
  <c r="I861" i="6" s="1"/>
  <c r="H862" i="6"/>
  <c r="I862" i="6" s="1"/>
  <c r="H863" i="6"/>
  <c r="I863" i="6" s="1"/>
  <c r="H864" i="6"/>
  <c r="I864" i="6" s="1"/>
  <c r="H865" i="6"/>
  <c r="I865" i="6" s="1"/>
  <c r="H866" i="6"/>
  <c r="I866" i="6" s="1"/>
  <c r="H867" i="6"/>
  <c r="I867" i="6" s="1"/>
  <c r="H868" i="6"/>
  <c r="I868" i="6" s="1"/>
  <c r="H869" i="6"/>
  <c r="I869" i="6" s="1"/>
  <c r="H870" i="6"/>
  <c r="I870" i="6" s="1"/>
  <c r="H871" i="6"/>
  <c r="I871" i="6" s="1"/>
  <c r="H872" i="6"/>
  <c r="I872" i="6" s="1"/>
  <c r="H873" i="6"/>
  <c r="I873" i="6" s="1"/>
  <c r="H874" i="6"/>
  <c r="I874" i="6" s="1"/>
  <c r="H875" i="6"/>
  <c r="I875" i="6" s="1"/>
  <c r="H876" i="6"/>
  <c r="I876" i="6" s="1"/>
  <c r="H877" i="6"/>
  <c r="I877" i="6" s="1"/>
  <c r="H878" i="6"/>
  <c r="I878" i="6" s="1"/>
  <c r="H879" i="6"/>
  <c r="I879" i="6" s="1"/>
  <c r="H880" i="6"/>
  <c r="I880" i="6" s="1"/>
  <c r="H935" i="6"/>
  <c r="I935" i="6" s="1"/>
  <c r="H936" i="6"/>
  <c r="I936" i="6" s="1"/>
  <c r="H937" i="6"/>
  <c r="I937" i="6" s="1"/>
  <c r="H938" i="6"/>
  <c r="I938" i="6" s="1"/>
  <c r="H939" i="6"/>
  <c r="I939" i="6" s="1"/>
  <c r="H940" i="6"/>
  <c r="I940" i="6" s="1"/>
  <c r="H941" i="6"/>
  <c r="I941" i="6" s="1"/>
  <c r="H942" i="6"/>
  <c r="I942" i="6" s="1"/>
  <c r="H943" i="6"/>
  <c r="I943" i="6" s="1"/>
  <c r="H944" i="6"/>
  <c r="I944" i="6" s="1"/>
  <c r="H945" i="6"/>
  <c r="I945" i="6" s="1"/>
  <c r="H946" i="6"/>
  <c r="I946" i="6" s="1"/>
  <c r="H947" i="6"/>
  <c r="I947" i="6" s="1"/>
  <c r="H948" i="6"/>
  <c r="I948" i="6" s="1"/>
  <c r="H949" i="6"/>
  <c r="I949" i="6" s="1"/>
  <c r="H950" i="6"/>
  <c r="I950" i="6" s="1"/>
  <c r="H951" i="6"/>
  <c r="I951" i="6" s="1"/>
  <c r="H952" i="6"/>
  <c r="I952" i="6" s="1"/>
  <c r="H953" i="6"/>
  <c r="I953" i="6" s="1"/>
  <c r="H954" i="6"/>
  <c r="I954" i="6" s="1"/>
  <c r="H955" i="6"/>
  <c r="I955" i="6" s="1"/>
  <c r="H956" i="6"/>
  <c r="I956" i="6" s="1"/>
  <c r="H957" i="6"/>
  <c r="I957" i="6" s="1"/>
  <c r="H958" i="6"/>
  <c r="I958" i="6" s="1"/>
  <c r="H959" i="6"/>
  <c r="I959" i="6" s="1"/>
  <c r="H960" i="6"/>
  <c r="I960" i="6" s="1"/>
  <c r="I4" i="13"/>
  <c r="I5" i="13"/>
  <c r="I6" i="13"/>
  <c r="I7" i="13"/>
  <c r="I8" i="13"/>
  <c r="I17" i="13"/>
  <c r="I18" i="13"/>
  <c r="I19" i="13"/>
  <c r="I21" i="13"/>
  <c r="I22" i="13"/>
  <c r="I23" i="13"/>
  <c r="I26" i="13"/>
  <c r="I27" i="13"/>
  <c r="I31" i="13"/>
  <c r="I32" i="13"/>
  <c r="I35" i="13"/>
  <c r="I36" i="13"/>
  <c r="I38" i="13"/>
  <c r="I39" i="13"/>
  <c r="I41" i="13"/>
  <c r="I42" i="13"/>
  <c r="I44" i="13"/>
  <c r="I45" i="13"/>
  <c r="I47" i="13"/>
  <c r="I48" i="13"/>
  <c r="I50" i="13"/>
  <c r="I53" i="13"/>
  <c r="I54" i="13"/>
  <c r="I56" i="13"/>
  <c r="I57" i="13"/>
  <c r="I59" i="13"/>
  <c r="I61" i="13"/>
  <c r="I64" i="13"/>
  <c r="I69" i="13"/>
  <c r="I71" i="13"/>
  <c r="I74" i="13"/>
  <c r="I75" i="13"/>
  <c r="I78" i="13"/>
  <c r="I79" i="13"/>
  <c r="I189" i="13"/>
  <c r="I3" i="13"/>
  <c r="J523" i="6" l="1"/>
  <c r="K523" i="6" s="1"/>
  <c r="J255" i="6"/>
  <c r="K255" i="6" s="1"/>
  <c r="J253" i="6"/>
  <c r="K253" i="6" s="1"/>
  <c r="J251" i="6"/>
  <c r="K251" i="6" s="1"/>
  <c r="J249" i="6"/>
  <c r="K249" i="6" s="1"/>
  <c r="J247" i="6"/>
  <c r="K247" i="6" s="1"/>
  <c r="J245" i="6"/>
  <c r="K245" i="6" s="1"/>
  <c r="J243" i="6"/>
  <c r="K243" i="6" s="1"/>
  <c r="J241" i="6"/>
  <c r="K241" i="6" s="1"/>
  <c r="J239" i="6"/>
  <c r="K239" i="6" s="1"/>
  <c r="J237" i="6"/>
  <c r="K237" i="6" s="1"/>
  <c r="J235" i="6"/>
  <c r="K235" i="6" s="1"/>
  <c r="J233" i="6"/>
  <c r="K233" i="6" s="1"/>
  <c r="J231" i="6"/>
  <c r="K231" i="6" s="1"/>
  <c r="J229" i="6"/>
  <c r="K229" i="6" s="1"/>
  <c r="J227" i="6"/>
  <c r="K227" i="6" s="1"/>
  <c r="J225" i="6"/>
  <c r="K225" i="6" s="1"/>
  <c r="J223" i="6"/>
  <c r="K223" i="6" s="1"/>
  <c r="J221" i="6"/>
  <c r="K221" i="6" s="1"/>
  <c r="J219" i="6"/>
  <c r="K219" i="6" s="1"/>
  <c r="J217" i="6"/>
  <c r="K217" i="6" s="1"/>
  <c r="J215" i="6"/>
  <c r="K215" i="6" s="1"/>
  <c r="J213" i="6"/>
  <c r="K213" i="6" s="1"/>
  <c r="J960" i="6"/>
  <c r="J958" i="6"/>
  <c r="J956" i="6"/>
  <c r="J954" i="6"/>
  <c r="J952" i="6"/>
  <c r="J950" i="6"/>
  <c r="J948" i="6"/>
  <c r="J946" i="6"/>
  <c r="J944" i="6"/>
  <c r="J942" i="6"/>
  <c r="J940" i="6"/>
  <c r="J938" i="6"/>
  <c r="J936" i="6"/>
  <c r="J880" i="6"/>
  <c r="J878" i="6"/>
  <c r="J876" i="6"/>
  <c r="J874" i="6"/>
  <c r="J872" i="6"/>
  <c r="J870" i="6"/>
  <c r="J868" i="6"/>
  <c r="J866" i="6"/>
  <c r="J864" i="6"/>
  <c r="J862" i="6"/>
  <c r="J860" i="6"/>
  <c r="J858" i="6"/>
  <c r="J856" i="6"/>
  <c r="J854" i="6"/>
  <c r="J852" i="6"/>
  <c r="J850" i="6"/>
  <c r="J848" i="6"/>
  <c r="J846" i="6"/>
  <c r="J844" i="6"/>
  <c r="J842" i="6"/>
  <c r="J840" i="6"/>
  <c r="J838" i="6"/>
  <c r="J836" i="6"/>
  <c r="J834" i="6"/>
  <c r="J832" i="6"/>
  <c r="J830" i="6"/>
  <c r="J827" i="6"/>
  <c r="J825" i="6"/>
  <c r="J823" i="6"/>
  <c r="J821" i="6"/>
  <c r="J819" i="6"/>
  <c r="J817" i="6"/>
  <c r="J815" i="6"/>
  <c r="J813" i="6"/>
  <c r="J811" i="6"/>
  <c r="J809" i="6"/>
  <c r="J807" i="6"/>
  <c r="J805" i="6"/>
  <c r="J803" i="6"/>
  <c r="J801" i="6"/>
  <c r="J799" i="6"/>
  <c r="J797" i="6"/>
  <c r="J795" i="6"/>
  <c r="J793" i="6"/>
  <c r="J791" i="6"/>
  <c r="J789" i="6"/>
  <c r="J787" i="6"/>
  <c r="J785" i="6"/>
  <c r="J783" i="6"/>
  <c r="J781" i="6"/>
  <c r="J779" i="6"/>
  <c r="J777" i="6"/>
  <c r="J774" i="6"/>
  <c r="J772" i="6"/>
  <c r="J770" i="6"/>
  <c r="J768" i="6"/>
  <c r="J766" i="6"/>
  <c r="J764" i="6"/>
  <c r="J762" i="6"/>
  <c r="J760" i="6"/>
  <c r="J758" i="6"/>
  <c r="J756" i="6"/>
  <c r="J753" i="6"/>
  <c r="J751" i="6"/>
  <c r="J749" i="6"/>
  <c r="J747" i="6"/>
  <c r="J745" i="6"/>
  <c r="J743" i="6"/>
  <c r="J741" i="6"/>
  <c r="J739" i="6"/>
  <c r="J737" i="6"/>
  <c r="J735" i="6"/>
  <c r="J733" i="6"/>
  <c r="J731" i="6"/>
  <c r="J728" i="6"/>
  <c r="J726" i="6"/>
  <c r="J724" i="6"/>
  <c r="J722" i="6"/>
  <c r="J720" i="6"/>
  <c r="J718" i="6"/>
  <c r="J716" i="6"/>
  <c r="J714" i="6"/>
  <c r="J712" i="6"/>
  <c r="J710" i="6"/>
  <c r="J708" i="6"/>
  <c r="J706" i="6"/>
  <c r="J703" i="6"/>
  <c r="J701" i="6"/>
  <c r="J699" i="6"/>
  <c r="J697" i="6"/>
  <c r="J695" i="6"/>
  <c r="J693" i="6"/>
  <c r="J691" i="6"/>
  <c r="J689" i="6"/>
  <c r="J687" i="6"/>
  <c r="J685" i="6"/>
  <c r="J682" i="6"/>
  <c r="J680" i="6"/>
  <c r="J678" i="6"/>
  <c r="J676" i="6"/>
  <c r="J674" i="6"/>
  <c r="J672" i="6"/>
  <c r="J670" i="6"/>
  <c r="J668" i="6"/>
  <c r="J666" i="6"/>
  <c r="J664" i="6"/>
  <c r="J662" i="6"/>
  <c r="J660" i="6"/>
  <c r="J657" i="6"/>
  <c r="J655" i="6"/>
  <c r="J653" i="6"/>
  <c r="J651" i="6"/>
  <c r="J649" i="6"/>
  <c r="J647" i="6"/>
  <c r="J645" i="6"/>
  <c r="J643" i="6"/>
  <c r="J640" i="6"/>
  <c r="J638" i="6"/>
  <c r="J636" i="6"/>
  <c r="J634" i="6"/>
  <c r="J632" i="6"/>
  <c r="J630" i="6"/>
  <c r="J628" i="6"/>
  <c r="J626" i="6"/>
  <c r="J623" i="6"/>
  <c r="J621" i="6"/>
  <c r="J619" i="6"/>
  <c r="J617" i="6"/>
  <c r="J615" i="6"/>
  <c r="J613" i="6"/>
  <c r="J611" i="6"/>
  <c r="J609" i="6"/>
  <c r="J607" i="6"/>
  <c r="J605" i="6"/>
  <c r="J603" i="6"/>
  <c r="J601" i="6"/>
  <c r="J598" i="6"/>
  <c r="J596" i="6"/>
  <c r="J594" i="6"/>
  <c r="J592" i="6"/>
  <c r="J590" i="6"/>
  <c r="J588" i="6"/>
  <c r="J586" i="6"/>
  <c r="J584" i="6"/>
  <c r="J582" i="6"/>
  <c r="J580" i="6"/>
  <c r="J578" i="6"/>
  <c r="J576" i="6"/>
  <c r="J536" i="6"/>
  <c r="K536" i="6" s="1"/>
  <c r="J522" i="6"/>
  <c r="K522" i="6" s="1"/>
  <c r="J254" i="6"/>
  <c r="K254" i="6" s="1"/>
  <c r="J252" i="6"/>
  <c r="K252" i="6" s="1"/>
  <c r="J250" i="6"/>
  <c r="K250" i="6" s="1"/>
  <c r="J248" i="6"/>
  <c r="K248" i="6" s="1"/>
  <c r="J246" i="6"/>
  <c r="K246" i="6" s="1"/>
  <c r="J244" i="6"/>
  <c r="K244" i="6" s="1"/>
  <c r="J242" i="6"/>
  <c r="K242" i="6" s="1"/>
  <c r="J240" i="6"/>
  <c r="K240" i="6" s="1"/>
  <c r="J238" i="6"/>
  <c r="K238" i="6" s="1"/>
  <c r="J236" i="6"/>
  <c r="K236" i="6" s="1"/>
  <c r="J234" i="6"/>
  <c r="K234" i="6" s="1"/>
  <c r="J232" i="6"/>
  <c r="K232" i="6" s="1"/>
  <c r="J230" i="6"/>
  <c r="K230" i="6" s="1"/>
  <c r="J228" i="6"/>
  <c r="K228" i="6" s="1"/>
  <c r="J226" i="6"/>
  <c r="K226" i="6" s="1"/>
  <c r="J224" i="6"/>
  <c r="K224" i="6" s="1"/>
  <c r="J222" i="6"/>
  <c r="K222" i="6" s="1"/>
  <c r="J220" i="6"/>
  <c r="K220" i="6" s="1"/>
  <c r="J218" i="6"/>
  <c r="K218" i="6" s="1"/>
  <c r="J216" i="6"/>
  <c r="K216" i="6" s="1"/>
  <c r="J214" i="6"/>
  <c r="K214" i="6" s="1"/>
  <c r="J212" i="6"/>
  <c r="K212" i="6" s="1"/>
  <c r="J959" i="6"/>
  <c r="J957" i="6"/>
  <c r="J955" i="6"/>
  <c r="J953" i="6"/>
  <c r="J951" i="6"/>
  <c r="J949" i="6"/>
  <c r="J947" i="6"/>
  <c r="J945" i="6"/>
  <c r="J943" i="6"/>
  <c r="J941" i="6"/>
  <c r="J939" i="6"/>
  <c r="J937" i="6"/>
  <c r="J935" i="6"/>
  <c r="J879" i="6"/>
  <c r="J877" i="6"/>
  <c r="J875" i="6"/>
  <c r="J873" i="6"/>
  <c r="J871" i="6"/>
  <c r="J869" i="6"/>
  <c r="J867" i="6"/>
  <c r="J865" i="6"/>
  <c r="J863" i="6"/>
  <c r="J861" i="6"/>
  <c r="J859" i="6"/>
  <c r="J857" i="6"/>
  <c r="J855" i="6"/>
  <c r="J853" i="6"/>
  <c r="J851" i="6"/>
  <c r="J849" i="6"/>
  <c r="J847" i="6"/>
  <c r="J845" i="6"/>
  <c r="J843" i="6"/>
  <c r="J841" i="6"/>
  <c r="J839" i="6"/>
  <c r="J837" i="6"/>
  <c r="J835" i="6"/>
  <c r="J833" i="6"/>
  <c r="J831" i="6"/>
  <c r="J829" i="6"/>
  <c r="J826" i="6"/>
  <c r="J824" i="6"/>
  <c r="J822" i="6"/>
  <c r="J820" i="6"/>
  <c r="J818" i="6"/>
  <c r="J816" i="6"/>
  <c r="J814" i="6"/>
  <c r="J812" i="6"/>
  <c r="J810" i="6"/>
  <c r="J808" i="6"/>
  <c r="J806" i="6"/>
  <c r="J804" i="6"/>
  <c r="J802" i="6"/>
  <c r="J800" i="6"/>
  <c r="J798" i="6"/>
  <c r="J796" i="6"/>
  <c r="J794" i="6"/>
  <c r="J792" i="6"/>
  <c r="J790" i="6"/>
  <c r="J788" i="6"/>
  <c r="J786" i="6"/>
  <c r="J784" i="6"/>
  <c r="J782" i="6"/>
  <c r="J780" i="6"/>
  <c r="J778" i="6"/>
  <c r="J776" i="6"/>
  <c r="J773" i="6"/>
  <c r="J771" i="6"/>
  <c r="J769" i="6"/>
  <c r="J767" i="6"/>
  <c r="J765" i="6"/>
  <c r="J763" i="6"/>
  <c r="J761" i="6"/>
  <c r="J759" i="6"/>
  <c r="J757" i="6"/>
  <c r="J755" i="6"/>
  <c r="J752" i="6"/>
  <c r="J750" i="6"/>
  <c r="J748" i="6"/>
  <c r="J746" i="6"/>
  <c r="J744" i="6"/>
  <c r="J742" i="6"/>
  <c r="J740" i="6"/>
  <c r="J738" i="6"/>
  <c r="J736" i="6"/>
  <c r="J734" i="6"/>
  <c r="J732" i="6"/>
  <c r="J730" i="6"/>
  <c r="J727" i="6"/>
  <c r="J725" i="6"/>
  <c r="J723" i="6"/>
  <c r="J721" i="6"/>
  <c r="J719" i="6"/>
  <c r="J717" i="6"/>
  <c r="J715" i="6"/>
  <c r="J713" i="6"/>
  <c r="J711" i="6"/>
  <c r="J709" i="6"/>
  <c r="J707" i="6"/>
  <c r="J705" i="6"/>
  <c r="J702" i="6"/>
  <c r="J700" i="6"/>
  <c r="J698" i="6"/>
  <c r="J696" i="6"/>
  <c r="J694" i="6"/>
  <c r="J692" i="6"/>
  <c r="J690" i="6"/>
  <c r="J688" i="6"/>
  <c r="J686" i="6"/>
  <c r="J684" i="6"/>
  <c r="J681" i="6"/>
  <c r="J679" i="6"/>
  <c r="J677" i="6"/>
  <c r="J675" i="6"/>
  <c r="J673" i="6"/>
  <c r="J671" i="6"/>
  <c r="J669" i="6"/>
  <c r="J667" i="6"/>
  <c r="J665" i="6"/>
  <c r="J663" i="6"/>
  <c r="J661" i="6"/>
  <c r="J659" i="6"/>
  <c r="J656" i="6"/>
  <c r="J654" i="6"/>
  <c r="J652" i="6"/>
  <c r="J650" i="6"/>
  <c r="J648" i="6"/>
  <c r="J646" i="6"/>
  <c r="J644" i="6"/>
  <c r="J642" i="6"/>
  <c r="J639" i="6"/>
  <c r="J637" i="6"/>
  <c r="J635" i="6"/>
  <c r="J633" i="6"/>
  <c r="J631" i="6"/>
  <c r="J629" i="6"/>
  <c r="J627" i="6"/>
  <c r="J625" i="6"/>
  <c r="J622" i="6"/>
  <c r="J620" i="6"/>
  <c r="J618" i="6"/>
  <c r="J616" i="6"/>
  <c r="J614" i="6"/>
  <c r="J612" i="6"/>
  <c r="J610" i="6"/>
  <c r="J608" i="6"/>
  <c r="J606" i="6"/>
  <c r="J604" i="6"/>
  <c r="J602" i="6"/>
  <c r="J600" i="6"/>
  <c r="J597" i="6"/>
  <c r="J595" i="6"/>
  <c r="J593" i="6"/>
  <c r="J591" i="6"/>
  <c r="J589" i="6"/>
  <c r="J587" i="6"/>
  <c r="J585" i="6"/>
  <c r="J583" i="6"/>
  <c r="J581" i="6"/>
  <c r="J579" i="6"/>
  <c r="J577" i="6"/>
  <c r="J575" i="6"/>
  <c r="H195" i="13"/>
  <c r="I195" i="13" s="1"/>
  <c r="H194" i="13"/>
  <c r="I194" i="13" s="1"/>
  <c r="H193" i="13"/>
  <c r="I193" i="13" s="1"/>
  <c r="H192" i="13"/>
  <c r="I192" i="13" s="1"/>
  <c r="H191" i="13"/>
  <c r="I191" i="13" s="1"/>
  <c r="H190" i="13"/>
  <c r="I190" i="13" s="1"/>
  <c r="H188" i="13"/>
  <c r="I188" i="13" s="1"/>
  <c r="H187" i="13"/>
  <c r="I187" i="13" s="1"/>
  <c r="H186" i="13"/>
  <c r="I186" i="13" s="1"/>
  <c r="H185" i="13"/>
  <c r="I185" i="13" s="1"/>
  <c r="H184" i="13"/>
  <c r="I184" i="13" s="1"/>
  <c r="H183" i="13"/>
  <c r="I183" i="13" s="1"/>
  <c r="H182" i="13"/>
  <c r="I182" i="13" s="1"/>
  <c r="H181" i="13"/>
  <c r="I181" i="13" s="1"/>
  <c r="H180" i="13"/>
  <c r="I180" i="13" s="1"/>
  <c r="H179" i="13"/>
  <c r="I179" i="13" s="1"/>
  <c r="H178" i="13"/>
  <c r="I178" i="13" s="1"/>
  <c r="H177" i="13"/>
  <c r="I177" i="13" s="1"/>
  <c r="H176" i="13"/>
  <c r="I176" i="13" s="1"/>
  <c r="H175" i="13"/>
  <c r="I175" i="13" s="1"/>
  <c r="H174" i="13"/>
  <c r="I174" i="13" s="1"/>
  <c r="H173" i="13"/>
  <c r="I173" i="13" s="1"/>
  <c r="H172" i="13"/>
  <c r="I172" i="13" s="1"/>
  <c r="H171" i="13"/>
  <c r="I171" i="13" s="1"/>
  <c r="H170" i="13"/>
  <c r="I170" i="13" s="1"/>
  <c r="H169" i="13"/>
  <c r="I169" i="13" s="1"/>
  <c r="H168" i="13"/>
  <c r="I168" i="13" s="1"/>
  <c r="H167" i="13"/>
  <c r="I167" i="13" s="1"/>
  <c r="H166" i="13"/>
  <c r="I166" i="13" s="1"/>
  <c r="H165" i="13"/>
  <c r="I165" i="13" s="1"/>
  <c r="H164" i="13"/>
  <c r="I164" i="13" s="1"/>
  <c r="H163" i="13"/>
  <c r="I163" i="13" s="1"/>
  <c r="H162" i="13"/>
  <c r="I162" i="13" s="1"/>
  <c r="H161" i="13"/>
  <c r="I161" i="13" s="1"/>
  <c r="H160" i="13"/>
  <c r="I160" i="13" s="1"/>
  <c r="H159" i="13"/>
  <c r="I159" i="13" s="1"/>
  <c r="H158" i="13"/>
  <c r="I158" i="13" s="1"/>
  <c r="H157" i="13"/>
  <c r="I157" i="13" s="1"/>
  <c r="H156" i="13"/>
  <c r="I156" i="13" s="1"/>
  <c r="H155" i="13"/>
  <c r="I155" i="13" s="1"/>
  <c r="H154" i="13"/>
  <c r="I154" i="13" s="1"/>
  <c r="H153" i="13"/>
  <c r="I153" i="13" s="1"/>
  <c r="H152" i="13"/>
  <c r="I152" i="13" s="1"/>
  <c r="H151" i="13"/>
  <c r="I151" i="13" s="1"/>
  <c r="H150" i="13"/>
  <c r="I150" i="13" s="1"/>
  <c r="H149" i="13"/>
  <c r="I149" i="13" s="1"/>
  <c r="H148" i="13"/>
  <c r="I148" i="13" s="1"/>
  <c r="H147" i="13"/>
  <c r="I147" i="13" s="1"/>
  <c r="H146" i="13"/>
  <c r="I146" i="13" s="1"/>
  <c r="H145" i="13"/>
  <c r="I145" i="13" s="1"/>
  <c r="H144" i="13"/>
  <c r="I144" i="13" s="1"/>
  <c r="H143" i="13"/>
  <c r="I143" i="13" s="1"/>
  <c r="H142" i="13"/>
  <c r="I142" i="13" s="1"/>
  <c r="H141" i="13"/>
  <c r="I141" i="13" s="1"/>
  <c r="H140" i="13"/>
  <c r="I140" i="13" s="1"/>
  <c r="H139" i="13" l="1"/>
  <c r="I139" i="13" s="1"/>
  <c r="H138" i="13"/>
  <c r="I138" i="13" s="1"/>
  <c r="H137" i="13"/>
  <c r="I137" i="13" s="1"/>
  <c r="H136" i="13"/>
  <c r="I136" i="13" s="1"/>
  <c r="H135" i="13"/>
  <c r="I135" i="13" s="1"/>
  <c r="H134" i="13"/>
  <c r="I134" i="13" s="1"/>
  <c r="H133" i="13"/>
  <c r="I133" i="13" s="1"/>
  <c r="H132" i="13"/>
  <c r="I132" i="13" s="1"/>
  <c r="H131" i="13"/>
  <c r="I131" i="13" s="1"/>
  <c r="H130" i="13"/>
  <c r="I130" i="13" s="1"/>
  <c r="H129" i="13"/>
  <c r="I129" i="13" s="1"/>
  <c r="H128" i="13"/>
  <c r="I128" i="13" s="1"/>
  <c r="H127" i="13"/>
  <c r="I127" i="13" s="1"/>
  <c r="H126" i="13"/>
  <c r="I126" i="13" s="1"/>
  <c r="H125" i="13"/>
  <c r="I125" i="13" s="1"/>
  <c r="H124" i="13"/>
  <c r="I124" i="13" s="1"/>
  <c r="H123" i="13"/>
  <c r="I123" i="13" s="1"/>
  <c r="H122" i="13"/>
  <c r="I122" i="13" s="1"/>
  <c r="H121" i="13"/>
  <c r="I121" i="13" s="1"/>
  <c r="H120" i="13"/>
  <c r="I120" i="13" s="1"/>
  <c r="H119" i="13"/>
  <c r="I119" i="13" s="1"/>
  <c r="H118" i="13"/>
  <c r="I118" i="13" s="1"/>
  <c r="H117" i="13"/>
  <c r="I117" i="13" s="1"/>
  <c r="H116" i="13"/>
  <c r="I116" i="13" s="1"/>
  <c r="H115" i="13"/>
  <c r="I115" i="13" s="1"/>
  <c r="H114" i="13"/>
  <c r="I114" i="13" s="1"/>
  <c r="H113" i="13"/>
  <c r="I113" i="13" s="1"/>
  <c r="H112" i="13"/>
  <c r="I112" i="13" s="1"/>
  <c r="H111" i="13"/>
  <c r="I111" i="13" s="1"/>
  <c r="H110" i="13"/>
  <c r="I110" i="13" s="1"/>
  <c r="H109" i="13"/>
  <c r="I109" i="13" s="1"/>
  <c r="H108" i="13"/>
  <c r="I108" i="13" s="1"/>
  <c r="H107" i="13"/>
  <c r="I107" i="13" s="1"/>
  <c r="H106" i="13"/>
  <c r="I106" i="13" s="1"/>
  <c r="H105" i="13"/>
  <c r="I105" i="13" s="1"/>
  <c r="H104" i="13"/>
  <c r="I104" i="13" s="1"/>
  <c r="H103" i="13"/>
  <c r="I103" i="13" s="1"/>
  <c r="H102" i="13"/>
  <c r="I102" i="13" s="1"/>
  <c r="H101" i="13"/>
  <c r="I101" i="13" s="1"/>
  <c r="H100" i="13"/>
  <c r="I100" i="13" s="1"/>
  <c r="H99" i="13"/>
  <c r="I99" i="13" s="1"/>
  <c r="H98" i="13"/>
  <c r="I98" i="13" s="1"/>
  <c r="H97" i="13"/>
  <c r="I97" i="13" s="1"/>
  <c r="H96" i="13"/>
  <c r="I96" i="13" s="1"/>
  <c r="H95" i="13"/>
  <c r="I95" i="13" s="1"/>
  <c r="H94" i="13"/>
  <c r="I94" i="13" s="1"/>
  <c r="H93" i="13"/>
  <c r="I93" i="13" s="1"/>
  <c r="H81" i="13" l="1"/>
  <c r="I81" i="13" s="1"/>
  <c r="H80" i="13"/>
  <c r="I80" i="13" s="1"/>
  <c r="H72" i="13"/>
  <c r="I72" i="13" s="1"/>
  <c r="H67" i="13"/>
  <c r="I67" i="13" s="1"/>
  <c r="H33" i="13"/>
  <c r="I33" i="13" s="1"/>
  <c r="H24" i="13"/>
  <c r="I24" i="13" s="1"/>
  <c r="H91" i="13" l="1"/>
  <c r="I91" i="13" s="1"/>
  <c r="H90" i="13"/>
  <c r="I90" i="13" s="1"/>
  <c r="H89" i="13"/>
  <c r="I89" i="13" s="1"/>
  <c r="H88" i="13"/>
  <c r="I88" i="13" s="1"/>
  <c r="H86" i="13"/>
  <c r="I86" i="13" s="1"/>
  <c r="H85" i="13"/>
  <c r="I85" i="13" s="1"/>
  <c r="H84" i="13"/>
  <c r="I84" i="13" s="1"/>
  <c r="H83" i="13"/>
  <c r="I83" i="13" s="1"/>
  <c r="J289" i="12" l="1"/>
  <c r="J287" i="12"/>
  <c r="J285" i="12"/>
  <c r="J283" i="12"/>
  <c r="J281" i="12"/>
  <c r="J279" i="12"/>
  <c r="J277" i="12"/>
  <c r="J275" i="12"/>
  <c r="J273" i="12"/>
  <c r="J271" i="12"/>
  <c r="J269" i="12"/>
  <c r="J267" i="12"/>
  <c r="J265" i="12"/>
  <c r="J263" i="12"/>
  <c r="J261" i="12"/>
  <c r="J259" i="12"/>
  <c r="J257" i="12"/>
  <c r="J255" i="12"/>
  <c r="J253" i="12"/>
  <c r="J251" i="12"/>
  <c r="J249" i="12"/>
  <c r="J247" i="12"/>
  <c r="J245" i="12"/>
  <c r="J243" i="12"/>
  <c r="J241" i="12"/>
  <c r="J239" i="12"/>
  <c r="J237" i="12"/>
  <c r="J235" i="12"/>
  <c r="J233" i="12"/>
  <c r="J231" i="12"/>
  <c r="J229" i="12"/>
  <c r="J227" i="12"/>
  <c r="J225" i="12"/>
  <c r="J223" i="12"/>
  <c r="J221" i="12"/>
  <c r="J219" i="12"/>
  <c r="J217" i="12"/>
  <c r="J215" i="12"/>
  <c r="J213" i="12"/>
  <c r="J211" i="12"/>
  <c r="J209" i="12"/>
  <c r="J207" i="12"/>
  <c r="J205" i="12"/>
  <c r="J203" i="12"/>
  <c r="J201" i="12"/>
  <c r="J199" i="12"/>
  <c r="J197" i="12"/>
  <c r="J195" i="12"/>
  <c r="J193" i="12"/>
  <c r="J191" i="12"/>
  <c r="J189" i="12"/>
  <c r="J187" i="12"/>
  <c r="J185" i="12"/>
  <c r="J183" i="12"/>
  <c r="J181" i="12"/>
  <c r="J179" i="12"/>
  <c r="J177" i="12"/>
  <c r="J175" i="12"/>
  <c r="J173" i="12"/>
  <c r="J171" i="12"/>
  <c r="J169" i="12"/>
  <c r="J167" i="12"/>
  <c r="J165" i="12"/>
  <c r="J163" i="12"/>
  <c r="J161" i="12"/>
  <c r="J159" i="12"/>
  <c r="J157" i="12"/>
  <c r="J155" i="12"/>
  <c r="J153" i="12"/>
  <c r="J151" i="12"/>
  <c r="J149" i="12"/>
  <c r="J147" i="12"/>
  <c r="J145" i="12"/>
  <c r="J143" i="12"/>
  <c r="J141" i="12"/>
  <c r="J139" i="12"/>
  <c r="J137" i="12"/>
  <c r="J135" i="12"/>
  <c r="J133" i="12"/>
  <c r="J131" i="12"/>
  <c r="J129" i="12"/>
  <c r="J127" i="12"/>
  <c r="J125" i="12"/>
  <c r="J123" i="12"/>
  <c r="J121" i="12"/>
  <c r="J119" i="12"/>
  <c r="J117" i="12"/>
  <c r="J115" i="12"/>
  <c r="J113" i="12"/>
  <c r="J111" i="12"/>
  <c r="J109" i="12"/>
  <c r="J107" i="12"/>
  <c r="J105" i="12"/>
  <c r="J103" i="12"/>
  <c r="J101" i="12"/>
  <c r="J99" i="12"/>
  <c r="J97" i="12"/>
  <c r="J95" i="12"/>
  <c r="J93" i="12"/>
  <c r="J91" i="12"/>
  <c r="J89" i="12"/>
  <c r="J87" i="12"/>
  <c r="J85" i="12"/>
  <c r="J83" i="12"/>
  <c r="J81" i="12"/>
  <c r="J79" i="12"/>
  <c r="J77" i="12"/>
  <c r="J75" i="12"/>
  <c r="J73" i="12"/>
  <c r="J71" i="12"/>
  <c r="J69" i="12"/>
  <c r="J67" i="12"/>
  <c r="J65" i="12"/>
  <c r="J63" i="12"/>
  <c r="J61" i="12"/>
  <c r="J59" i="12"/>
  <c r="J57" i="12"/>
  <c r="J55" i="12"/>
  <c r="J53" i="12"/>
  <c r="J51" i="12"/>
  <c r="J49" i="12" l="1"/>
  <c r="J47" i="12"/>
  <c r="J45" i="12"/>
  <c r="J43" i="12"/>
  <c r="J41" i="12"/>
  <c r="J39" i="12"/>
  <c r="J37" i="12"/>
  <c r="J35" i="12"/>
  <c r="J33" i="12"/>
  <c r="J31" i="12"/>
  <c r="J29" i="12"/>
  <c r="J27" i="12"/>
  <c r="J25" i="12"/>
  <c r="J23" i="12"/>
  <c r="J21" i="12"/>
  <c r="J19" i="12"/>
  <c r="J17" i="12"/>
  <c r="J15" i="12"/>
  <c r="J13" i="12"/>
  <c r="J11" i="12"/>
  <c r="J9" i="12"/>
  <c r="J7" i="12"/>
  <c r="J5" i="12"/>
  <c r="J3" i="12"/>
  <c r="L693" i="6" l="1"/>
  <c r="L694" i="6"/>
  <c r="L695" i="6"/>
  <c r="L696" i="6"/>
  <c r="L697" i="6"/>
  <c r="L698" i="6"/>
  <c r="L699" i="6"/>
  <c r="L700" i="6"/>
  <c r="L701" i="6"/>
  <c r="L702" i="6"/>
  <c r="L703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4" i="6"/>
  <c r="L5" i="6"/>
  <c r="L6" i="6"/>
  <c r="L7" i="6"/>
  <c r="L9" i="6"/>
  <c r="L10" i="6"/>
  <c r="L11" i="6"/>
  <c r="L12" i="6"/>
  <c r="L13" i="6"/>
  <c r="L14" i="6"/>
  <c r="L15" i="6"/>
  <c r="L16" i="6"/>
  <c r="L18" i="6"/>
  <c r="L19" i="6"/>
  <c r="L20" i="6"/>
  <c r="L21" i="6"/>
  <c r="L22" i="6"/>
  <c r="L23" i="6"/>
  <c r="L24" i="6"/>
  <c r="L25" i="6"/>
  <c r="L27" i="6"/>
  <c r="L28" i="6"/>
  <c r="L29" i="6"/>
  <c r="L31" i="6"/>
  <c r="L32" i="6"/>
  <c r="L33" i="6"/>
  <c r="L34" i="6"/>
  <c r="L42" i="6"/>
  <c r="L43" i="6"/>
  <c r="L44" i="6"/>
  <c r="L45" i="6"/>
  <c r="L53" i="6"/>
  <c r="L54" i="6"/>
  <c r="L55" i="6"/>
  <c r="L56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10" i="6"/>
  <c r="L111" i="6"/>
  <c r="L112" i="6"/>
  <c r="L113" i="6"/>
  <c r="L121" i="6"/>
  <c r="L122" i="6"/>
  <c r="L123" i="6"/>
  <c r="L124" i="6"/>
  <c r="L132" i="6"/>
  <c r="L133" i="6"/>
  <c r="L134" i="6"/>
  <c r="L135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8" i="6"/>
  <c r="L179" i="6"/>
  <c r="L180" i="6"/>
  <c r="L181" i="6"/>
  <c r="L189" i="6"/>
  <c r="L190" i="6"/>
  <c r="L191" i="6"/>
  <c r="L192" i="6"/>
  <c r="L200" i="6"/>
  <c r="L201" i="6"/>
  <c r="L202" i="6"/>
  <c r="L203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522" i="6"/>
  <c r="L523" i="6"/>
  <c r="L536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4" i="6"/>
  <c r="L685" i="6"/>
  <c r="L686" i="6"/>
  <c r="L687" i="6"/>
  <c r="L688" i="6"/>
  <c r="L689" i="6"/>
  <c r="L690" i="6"/>
  <c r="L691" i="6"/>
  <c r="L692" i="6"/>
  <c r="L3" i="6"/>
  <c r="G986" i="6" l="1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H933" i="6" l="1"/>
  <c r="H931" i="6"/>
  <c r="H929" i="6"/>
  <c r="H927" i="6"/>
  <c r="H925" i="6"/>
  <c r="H923" i="6"/>
  <c r="H921" i="6"/>
  <c r="H919" i="6"/>
  <c r="H917" i="6"/>
  <c r="H915" i="6"/>
  <c r="H913" i="6"/>
  <c r="H911" i="6"/>
  <c r="H909" i="6"/>
  <c r="H907" i="6"/>
  <c r="H905" i="6"/>
  <c r="H903" i="6"/>
  <c r="H901" i="6"/>
  <c r="H899" i="6"/>
  <c r="H897" i="6"/>
  <c r="H895" i="6"/>
  <c r="H893" i="6"/>
  <c r="H891" i="6"/>
  <c r="H889" i="6"/>
  <c r="H887" i="6"/>
  <c r="H885" i="6"/>
  <c r="H883" i="6"/>
  <c r="H961" i="6"/>
  <c r="H963" i="6"/>
  <c r="H965" i="6"/>
  <c r="H967" i="6"/>
  <c r="H969" i="6"/>
  <c r="H971" i="6"/>
  <c r="H973" i="6"/>
  <c r="H975" i="6"/>
  <c r="H977" i="6"/>
  <c r="H979" i="6"/>
  <c r="H981" i="6"/>
  <c r="H983" i="6"/>
  <c r="H985" i="6"/>
  <c r="H932" i="6"/>
  <c r="H930" i="6"/>
  <c r="H928" i="6"/>
  <c r="H926" i="6"/>
  <c r="H924" i="6"/>
  <c r="H922" i="6"/>
  <c r="H920" i="6"/>
  <c r="H918" i="6"/>
  <c r="H916" i="6"/>
  <c r="H914" i="6"/>
  <c r="H912" i="6"/>
  <c r="H910" i="6"/>
  <c r="H908" i="6"/>
  <c r="H906" i="6"/>
  <c r="H904" i="6"/>
  <c r="H902" i="6"/>
  <c r="H900" i="6"/>
  <c r="H898" i="6"/>
  <c r="H896" i="6"/>
  <c r="H894" i="6"/>
  <c r="H892" i="6"/>
  <c r="H890" i="6"/>
  <c r="H888" i="6"/>
  <c r="H886" i="6"/>
  <c r="H884" i="6"/>
  <c r="H882" i="6"/>
  <c r="H962" i="6"/>
  <c r="H964" i="6"/>
  <c r="H966" i="6"/>
  <c r="H968" i="6"/>
  <c r="H970" i="6"/>
  <c r="H972" i="6"/>
  <c r="H974" i="6"/>
  <c r="H976" i="6"/>
  <c r="H978" i="6"/>
  <c r="H980" i="6"/>
  <c r="H982" i="6"/>
  <c r="H984" i="6"/>
  <c r="H986" i="6"/>
  <c r="G469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I986" i="6" l="1"/>
  <c r="I982" i="6"/>
  <c r="I978" i="6"/>
  <c r="I974" i="6"/>
  <c r="I970" i="6"/>
  <c r="I966" i="6"/>
  <c r="I962" i="6"/>
  <c r="I884" i="6"/>
  <c r="I888" i="6"/>
  <c r="I892" i="6"/>
  <c r="I896" i="6"/>
  <c r="I900" i="6"/>
  <c r="I904" i="6"/>
  <c r="I908" i="6"/>
  <c r="I912" i="6"/>
  <c r="I916" i="6"/>
  <c r="I920" i="6"/>
  <c r="I924" i="6"/>
  <c r="I928" i="6"/>
  <c r="I932" i="6"/>
  <c r="I983" i="6"/>
  <c r="I979" i="6"/>
  <c r="I975" i="6"/>
  <c r="I971" i="6"/>
  <c r="I967" i="6"/>
  <c r="I963" i="6"/>
  <c r="I883" i="6"/>
  <c r="I887" i="6"/>
  <c r="I891" i="6"/>
  <c r="I895" i="6"/>
  <c r="I899" i="6"/>
  <c r="I903" i="6"/>
  <c r="I907" i="6"/>
  <c r="I911" i="6"/>
  <c r="I915" i="6"/>
  <c r="I919" i="6"/>
  <c r="I923" i="6"/>
  <c r="I927" i="6"/>
  <c r="I931" i="6"/>
  <c r="I984" i="6"/>
  <c r="I980" i="6"/>
  <c r="I976" i="6"/>
  <c r="I972" i="6"/>
  <c r="I968" i="6"/>
  <c r="I964" i="6"/>
  <c r="I882" i="6"/>
  <c r="I886" i="6"/>
  <c r="I890" i="6"/>
  <c r="I894" i="6"/>
  <c r="I898" i="6"/>
  <c r="I902" i="6"/>
  <c r="I906" i="6"/>
  <c r="I910" i="6"/>
  <c r="I914" i="6"/>
  <c r="I918" i="6"/>
  <c r="I922" i="6"/>
  <c r="I926" i="6"/>
  <c r="I930" i="6"/>
  <c r="I985" i="6"/>
  <c r="I981" i="6"/>
  <c r="I977" i="6"/>
  <c r="I973" i="6"/>
  <c r="I969" i="6"/>
  <c r="I965" i="6"/>
  <c r="I961" i="6"/>
  <c r="I885" i="6"/>
  <c r="I889" i="6"/>
  <c r="I893" i="6"/>
  <c r="I897" i="6"/>
  <c r="I901" i="6"/>
  <c r="I905" i="6"/>
  <c r="I909" i="6"/>
  <c r="I913" i="6"/>
  <c r="I917" i="6"/>
  <c r="I921" i="6"/>
  <c r="I925" i="6"/>
  <c r="I929" i="6"/>
  <c r="I933" i="6"/>
  <c r="H471" i="6"/>
  <c r="H473" i="6"/>
  <c r="H475" i="6"/>
  <c r="H477" i="6"/>
  <c r="H479" i="6"/>
  <c r="H481" i="6"/>
  <c r="H483" i="6"/>
  <c r="H485" i="6"/>
  <c r="H487" i="6"/>
  <c r="H489" i="6"/>
  <c r="H491" i="6"/>
  <c r="H493" i="6"/>
  <c r="H495" i="6"/>
  <c r="H497" i="6"/>
  <c r="H499" i="6"/>
  <c r="H501" i="6"/>
  <c r="H503" i="6"/>
  <c r="H505" i="6"/>
  <c r="H507" i="6"/>
  <c r="H509" i="6"/>
  <c r="H511" i="6"/>
  <c r="H513" i="6"/>
  <c r="H515" i="6"/>
  <c r="H517" i="6"/>
  <c r="H519" i="6"/>
  <c r="H524" i="6"/>
  <c r="H526" i="6"/>
  <c r="H528" i="6"/>
  <c r="H530" i="6"/>
  <c r="H532" i="6"/>
  <c r="H534" i="6"/>
  <c r="H537" i="6"/>
  <c r="H539" i="6"/>
  <c r="H541" i="6"/>
  <c r="H543" i="6"/>
  <c r="H545" i="6"/>
  <c r="H547" i="6"/>
  <c r="H549" i="6"/>
  <c r="H551" i="6"/>
  <c r="H553" i="6"/>
  <c r="H555" i="6"/>
  <c r="H557" i="6"/>
  <c r="H559" i="6"/>
  <c r="H561" i="6"/>
  <c r="H563" i="6"/>
  <c r="H565" i="6"/>
  <c r="H567" i="6"/>
  <c r="H569" i="6"/>
  <c r="H571" i="6"/>
  <c r="H573" i="6"/>
  <c r="H470" i="6"/>
  <c r="H472" i="6"/>
  <c r="H474" i="6"/>
  <c r="H476" i="6"/>
  <c r="H478" i="6"/>
  <c r="H480" i="6"/>
  <c r="H482" i="6"/>
  <c r="H484" i="6"/>
  <c r="H486" i="6"/>
  <c r="H488" i="6"/>
  <c r="H490" i="6"/>
  <c r="H492" i="6"/>
  <c r="H494" i="6"/>
  <c r="H496" i="6"/>
  <c r="H498" i="6"/>
  <c r="H500" i="6"/>
  <c r="H502" i="6"/>
  <c r="H504" i="6"/>
  <c r="H506" i="6"/>
  <c r="H508" i="6"/>
  <c r="H510" i="6"/>
  <c r="H512" i="6"/>
  <c r="H514" i="6"/>
  <c r="H516" i="6"/>
  <c r="H518" i="6"/>
  <c r="H520" i="6"/>
  <c r="H525" i="6"/>
  <c r="H527" i="6"/>
  <c r="H529" i="6"/>
  <c r="H531" i="6"/>
  <c r="H533" i="6"/>
  <c r="H535" i="6"/>
  <c r="H538" i="6"/>
  <c r="H540" i="6"/>
  <c r="H542" i="6"/>
  <c r="H544" i="6"/>
  <c r="H546" i="6"/>
  <c r="H548" i="6"/>
  <c r="H550" i="6"/>
  <c r="H552" i="6"/>
  <c r="H554" i="6"/>
  <c r="H556" i="6"/>
  <c r="H558" i="6"/>
  <c r="H560" i="6"/>
  <c r="H562" i="6"/>
  <c r="H564" i="6"/>
  <c r="H566" i="6"/>
  <c r="H568" i="6"/>
  <c r="H570" i="6"/>
  <c r="H572" i="6"/>
  <c r="H469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3" i="6"/>
  <c r="G375" i="6"/>
  <c r="G374" i="6"/>
  <c r="G372" i="6"/>
  <c r="G371" i="6"/>
  <c r="G370" i="6"/>
  <c r="G369" i="6"/>
  <c r="G368" i="6"/>
  <c r="G367" i="6"/>
  <c r="G366" i="6"/>
  <c r="G365" i="6"/>
  <c r="G364" i="6"/>
  <c r="G363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283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L933" i="6" l="1"/>
  <c r="J933" i="6"/>
  <c r="L929" i="6"/>
  <c r="J929" i="6"/>
  <c r="L925" i="6"/>
  <c r="J925" i="6"/>
  <c r="L921" i="6"/>
  <c r="J921" i="6"/>
  <c r="L917" i="6"/>
  <c r="J917" i="6"/>
  <c r="L913" i="6"/>
  <c r="J913" i="6"/>
  <c r="L909" i="6"/>
  <c r="J909" i="6"/>
  <c r="L905" i="6"/>
  <c r="J905" i="6"/>
  <c r="L901" i="6"/>
  <c r="J901" i="6"/>
  <c r="L897" i="6"/>
  <c r="J897" i="6"/>
  <c r="L893" i="6"/>
  <c r="J893" i="6"/>
  <c r="L889" i="6"/>
  <c r="J889" i="6"/>
  <c r="L885" i="6"/>
  <c r="J885" i="6"/>
  <c r="L961" i="6"/>
  <c r="J961" i="6"/>
  <c r="L965" i="6"/>
  <c r="J965" i="6"/>
  <c r="L969" i="6"/>
  <c r="J969" i="6"/>
  <c r="L973" i="6"/>
  <c r="J973" i="6"/>
  <c r="L977" i="6"/>
  <c r="J977" i="6"/>
  <c r="L981" i="6"/>
  <c r="J981" i="6"/>
  <c r="L985" i="6"/>
  <c r="J985" i="6"/>
  <c r="L930" i="6"/>
  <c r="J930" i="6"/>
  <c r="L926" i="6"/>
  <c r="J926" i="6"/>
  <c r="L922" i="6"/>
  <c r="J922" i="6"/>
  <c r="L918" i="6"/>
  <c r="J918" i="6"/>
  <c r="L914" i="6"/>
  <c r="J914" i="6"/>
  <c r="L910" i="6"/>
  <c r="J910" i="6"/>
  <c r="L906" i="6"/>
  <c r="J906" i="6"/>
  <c r="L902" i="6"/>
  <c r="J902" i="6"/>
  <c r="L898" i="6"/>
  <c r="J898" i="6"/>
  <c r="L894" i="6"/>
  <c r="J894" i="6"/>
  <c r="L890" i="6"/>
  <c r="J890" i="6"/>
  <c r="L886" i="6"/>
  <c r="J886" i="6"/>
  <c r="L882" i="6"/>
  <c r="J882" i="6"/>
  <c r="L964" i="6"/>
  <c r="J964" i="6"/>
  <c r="L968" i="6"/>
  <c r="J968" i="6"/>
  <c r="L972" i="6"/>
  <c r="J972" i="6"/>
  <c r="L976" i="6"/>
  <c r="J976" i="6"/>
  <c r="L980" i="6"/>
  <c r="J980" i="6"/>
  <c r="L984" i="6"/>
  <c r="J984" i="6"/>
  <c r="L931" i="6"/>
  <c r="J931" i="6"/>
  <c r="L927" i="6"/>
  <c r="J927" i="6"/>
  <c r="L923" i="6"/>
  <c r="J923" i="6"/>
  <c r="L919" i="6"/>
  <c r="J919" i="6"/>
  <c r="L915" i="6"/>
  <c r="J915" i="6"/>
  <c r="L911" i="6"/>
  <c r="J911" i="6"/>
  <c r="L907" i="6"/>
  <c r="J907" i="6"/>
  <c r="L903" i="6"/>
  <c r="J903" i="6"/>
  <c r="L899" i="6"/>
  <c r="J899" i="6"/>
  <c r="L895" i="6"/>
  <c r="J895" i="6"/>
  <c r="L891" i="6"/>
  <c r="J891" i="6"/>
  <c r="L887" i="6"/>
  <c r="J887" i="6"/>
  <c r="L883" i="6"/>
  <c r="J883" i="6"/>
  <c r="L963" i="6"/>
  <c r="J963" i="6"/>
  <c r="L967" i="6"/>
  <c r="J967" i="6"/>
  <c r="L971" i="6"/>
  <c r="J971" i="6"/>
  <c r="L975" i="6"/>
  <c r="J975" i="6"/>
  <c r="L979" i="6"/>
  <c r="J979" i="6"/>
  <c r="L983" i="6"/>
  <c r="J983" i="6"/>
  <c r="L932" i="6"/>
  <c r="J932" i="6"/>
  <c r="L928" i="6"/>
  <c r="J928" i="6"/>
  <c r="L924" i="6"/>
  <c r="J924" i="6"/>
  <c r="L920" i="6"/>
  <c r="J920" i="6"/>
  <c r="L916" i="6"/>
  <c r="J916" i="6"/>
  <c r="L912" i="6"/>
  <c r="J912" i="6"/>
  <c r="L908" i="6"/>
  <c r="J908" i="6"/>
  <c r="L904" i="6"/>
  <c r="J904" i="6"/>
  <c r="L900" i="6"/>
  <c r="J900" i="6"/>
  <c r="L896" i="6"/>
  <c r="J896" i="6"/>
  <c r="L892" i="6"/>
  <c r="J892" i="6"/>
  <c r="L888" i="6"/>
  <c r="J888" i="6"/>
  <c r="L884" i="6"/>
  <c r="J884" i="6"/>
  <c r="L962" i="6"/>
  <c r="J962" i="6"/>
  <c r="L966" i="6"/>
  <c r="J966" i="6"/>
  <c r="L970" i="6"/>
  <c r="J970" i="6"/>
  <c r="L974" i="6"/>
  <c r="J974" i="6"/>
  <c r="L978" i="6"/>
  <c r="J978" i="6"/>
  <c r="L982" i="6"/>
  <c r="J982" i="6"/>
  <c r="L986" i="6"/>
  <c r="J986" i="6"/>
  <c r="I469" i="6"/>
  <c r="I570" i="6"/>
  <c r="I566" i="6"/>
  <c r="I562" i="6"/>
  <c r="I558" i="6"/>
  <c r="I554" i="6"/>
  <c r="I550" i="6"/>
  <c r="I546" i="6"/>
  <c r="I542" i="6"/>
  <c r="I538" i="6"/>
  <c r="I533" i="6"/>
  <c r="I529" i="6"/>
  <c r="I525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571" i="6"/>
  <c r="I567" i="6"/>
  <c r="I563" i="6"/>
  <c r="I559" i="6"/>
  <c r="I555" i="6"/>
  <c r="I551" i="6"/>
  <c r="I547" i="6"/>
  <c r="I543" i="6"/>
  <c r="I539" i="6"/>
  <c r="I534" i="6"/>
  <c r="I530" i="6"/>
  <c r="I526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572" i="6"/>
  <c r="I568" i="6"/>
  <c r="I564" i="6"/>
  <c r="I560" i="6"/>
  <c r="I556" i="6"/>
  <c r="I552" i="6"/>
  <c r="I548" i="6"/>
  <c r="I544" i="6"/>
  <c r="I540" i="6"/>
  <c r="I535" i="6"/>
  <c r="I531" i="6"/>
  <c r="I527" i="6"/>
  <c r="I520" i="6"/>
  <c r="I516" i="6"/>
  <c r="I512" i="6"/>
  <c r="I508" i="6"/>
  <c r="I504" i="6"/>
  <c r="I500" i="6"/>
  <c r="I496" i="6"/>
  <c r="I492" i="6"/>
  <c r="I488" i="6"/>
  <c r="I484" i="6"/>
  <c r="I480" i="6"/>
  <c r="I476" i="6"/>
  <c r="I472" i="6"/>
  <c r="I573" i="6"/>
  <c r="I569" i="6"/>
  <c r="I565" i="6"/>
  <c r="I561" i="6"/>
  <c r="I557" i="6"/>
  <c r="I553" i="6"/>
  <c r="I549" i="6"/>
  <c r="I545" i="6"/>
  <c r="I541" i="6"/>
  <c r="I537" i="6"/>
  <c r="I532" i="6"/>
  <c r="I528" i="6"/>
  <c r="I524" i="6"/>
  <c r="I517" i="6"/>
  <c r="I513" i="6"/>
  <c r="I509" i="6"/>
  <c r="I505" i="6"/>
  <c r="I501" i="6"/>
  <c r="I497" i="6"/>
  <c r="I493" i="6"/>
  <c r="I489" i="6"/>
  <c r="I485" i="6"/>
  <c r="I481" i="6"/>
  <c r="I477" i="6"/>
  <c r="I473" i="6"/>
  <c r="H257" i="6"/>
  <c r="H259" i="6"/>
  <c r="H261" i="6"/>
  <c r="H263" i="6"/>
  <c r="H265" i="6"/>
  <c r="H267" i="6"/>
  <c r="H269" i="6"/>
  <c r="H271" i="6"/>
  <c r="H273" i="6"/>
  <c r="H275" i="6"/>
  <c r="H277" i="6"/>
  <c r="H279" i="6"/>
  <c r="H281" i="6"/>
  <c r="H284" i="6"/>
  <c r="H286" i="6"/>
  <c r="H288" i="6"/>
  <c r="H290" i="6"/>
  <c r="H292" i="6"/>
  <c r="H294" i="6"/>
  <c r="H296" i="6"/>
  <c r="H298" i="6"/>
  <c r="H300" i="6"/>
  <c r="H302" i="6"/>
  <c r="H304" i="6"/>
  <c r="H306" i="6"/>
  <c r="H308" i="6"/>
  <c r="H310" i="6"/>
  <c r="H312" i="6"/>
  <c r="H314" i="6"/>
  <c r="H316" i="6"/>
  <c r="H318" i="6"/>
  <c r="H320" i="6"/>
  <c r="H322" i="6"/>
  <c r="H324" i="6"/>
  <c r="H326" i="6"/>
  <c r="H328" i="6"/>
  <c r="H330" i="6"/>
  <c r="H332" i="6"/>
  <c r="H334" i="6"/>
  <c r="H336" i="6"/>
  <c r="H338" i="6"/>
  <c r="H340" i="6"/>
  <c r="H342" i="6"/>
  <c r="H344" i="6"/>
  <c r="H346" i="6"/>
  <c r="H348" i="6"/>
  <c r="H350" i="6"/>
  <c r="H352" i="6"/>
  <c r="H354" i="6"/>
  <c r="H356" i="6"/>
  <c r="H358" i="6"/>
  <c r="H360" i="6"/>
  <c r="H363" i="6"/>
  <c r="H365" i="6"/>
  <c r="H367" i="6"/>
  <c r="H369" i="6"/>
  <c r="H371" i="6"/>
  <c r="H374" i="6"/>
  <c r="H373" i="6"/>
  <c r="H377" i="6"/>
  <c r="H379" i="6"/>
  <c r="H381" i="6"/>
  <c r="H383" i="6"/>
  <c r="H385" i="6"/>
  <c r="H387" i="6"/>
  <c r="H389" i="6"/>
  <c r="H391" i="6"/>
  <c r="H393" i="6"/>
  <c r="H395" i="6"/>
  <c r="H397" i="6"/>
  <c r="H399" i="6"/>
  <c r="H401" i="6"/>
  <c r="H403" i="6"/>
  <c r="H405" i="6"/>
  <c r="H407" i="6"/>
  <c r="H409" i="6"/>
  <c r="H411" i="6"/>
  <c r="H413" i="6"/>
  <c r="H416" i="6"/>
  <c r="H418" i="6"/>
  <c r="H420" i="6"/>
  <c r="H422" i="6"/>
  <c r="H424" i="6"/>
  <c r="H426" i="6"/>
  <c r="H428" i="6"/>
  <c r="H430" i="6"/>
  <c r="H432" i="6"/>
  <c r="H434" i="6"/>
  <c r="H436" i="6"/>
  <c r="H438" i="6"/>
  <c r="H440" i="6"/>
  <c r="H442" i="6"/>
  <c r="H444" i="6"/>
  <c r="H446" i="6"/>
  <c r="H448" i="6"/>
  <c r="H450" i="6"/>
  <c r="H452" i="6"/>
  <c r="H454" i="6"/>
  <c r="H456" i="6"/>
  <c r="H458" i="6"/>
  <c r="H460" i="6"/>
  <c r="H462" i="6"/>
  <c r="H464" i="6"/>
  <c r="H466" i="6"/>
  <c r="H258" i="6"/>
  <c r="H260" i="6"/>
  <c r="H262" i="6"/>
  <c r="H264" i="6"/>
  <c r="H266" i="6"/>
  <c r="H268" i="6"/>
  <c r="H270" i="6"/>
  <c r="H272" i="6"/>
  <c r="H274" i="6"/>
  <c r="H276" i="6"/>
  <c r="H278" i="6"/>
  <c r="H280" i="6"/>
  <c r="H282" i="6"/>
  <c r="H285" i="6"/>
  <c r="H287" i="6"/>
  <c r="H289" i="6"/>
  <c r="H291" i="6"/>
  <c r="H293" i="6"/>
  <c r="H295" i="6"/>
  <c r="H297" i="6"/>
  <c r="H299" i="6"/>
  <c r="H301" i="6"/>
  <c r="H303" i="6"/>
  <c r="H305" i="6"/>
  <c r="H307" i="6"/>
  <c r="H283" i="6"/>
  <c r="H311" i="6"/>
  <c r="H313" i="6"/>
  <c r="H315" i="6"/>
  <c r="H317" i="6"/>
  <c r="H319" i="6"/>
  <c r="H321" i="6"/>
  <c r="H323" i="6"/>
  <c r="H325" i="6"/>
  <c r="H327" i="6"/>
  <c r="H329" i="6"/>
  <c r="H331" i="6"/>
  <c r="H333" i="6"/>
  <c r="H335" i="6"/>
  <c r="H337" i="6"/>
  <c r="H339" i="6"/>
  <c r="H341" i="6"/>
  <c r="H343" i="6"/>
  <c r="H345" i="6"/>
  <c r="H347" i="6"/>
  <c r="H349" i="6"/>
  <c r="H351" i="6"/>
  <c r="H353" i="6"/>
  <c r="H355" i="6"/>
  <c r="H357" i="6"/>
  <c r="H359" i="6"/>
  <c r="H361" i="6"/>
  <c r="H364" i="6"/>
  <c r="H366" i="6"/>
  <c r="H368" i="6"/>
  <c r="H370" i="6"/>
  <c r="H372" i="6"/>
  <c r="H375" i="6"/>
  <c r="H376" i="6"/>
  <c r="H378" i="6"/>
  <c r="H380" i="6"/>
  <c r="H382" i="6"/>
  <c r="H384" i="6"/>
  <c r="H386" i="6"/>
  <c r="H388" i="6"/>
  <c r="H390" i="6"/>
  <c r="H392" i="6"/>
  <c r="H394" i="6"/>
  <c r="H396" i="6"/>
  <c r="H398" i="6"/>
  <c r="H400" i="6"/>
  <c r="H402" i="6"/>
  <c r="H404" i="6"/>
  <c r="H406" i="6"/>
  <c r="H408" i="6"/>
  <c r="H410" i="6"/>
  <c r="H412" i="6"/>
  <c r="H414" i="6"/>
  <c r="H417" i="6"/>
  <c r="H419" i="6"/>
  <c r="H421" i="6"/>
  <c r="H423" i="6"/>
  <c r="H425" i="6"/>
  <c r="H427" i="6"/>
  <c r="H429" i="6"/>
  <c r="H431" i="6"/>
  <c r="H433" i="6"/>
  <c r="H435" i="6"/>
  <c r="H437" i="6"/>
  <c r="H439" i="6"/>
  <c r="H441" i="6"/>
  <c r="H443" i="6"/>
  <c r="H445" i="6"/>
  <c r="H447" i="6"/>
  <c r="H449" i="6"/>
  <c r="H451" i="6"/>
  <c r="H453" i="6"/>
  <c r="H455" i="6"/>
  <c r="H457" i="6"/>
  <c r="H459" i="6"/>
  <c r="H461" i="6"/>
  <c r="H463" i="6"/>
  <c r="H465" i="6"/>
  <c r="H467" i="6"/>
  <c r="G210" i="6"/>
  <c r="G209" i="6"/>
  <c r="G208" i="6"/>
  <c r="G207" i="6"/>
  <c r="G206" i="6"/>
  <c r="G205" i="6"/>
  <c r="G204" i="6"/>
  <c r="G199" i="6"/>
  <c r="G198" i="6"/>
  <c r="G197" i="6"/>
  <c r="G196" i="6"/>
  <c r="G195" i="6"/>
  <c r="G194" i="6"/>
  <c r="G193" i="6"/>
  <c r="G188" i="6"/>
  <c r="G187" i="6"/>
  <c r="G186" i="6"/>
  <c r="G185" i="6"/>
  <c r="G184" i="6"/>
  <c r="G183" i="6"/>
  <c r="G182" i="6"/>
  <c r="G142" i="6"/>
  <c r="G141" i="6"/>
  <c r="G140" i="6"/>
  <c r="G139" i="6"/>
  <c r="G138" i="6"/>
  <c r="G137" i="6"/>
  <c r="G136" i="6"/>
  <c r="G131" i="6"/>
  <c r="G130" i="6"/>
  <c r="G129" i="6"/>
  <c r="G128" i="6"/>
  <c r="G127" i="6"/>
  <c r="G126" i="6"/>
  <c r="G125" i="6"/>
  <c r="G120" i="6"/>
  <c r="G119" i="6"/>
  <c r="G118" i="6"/>
  <c r="G117" i="6"/>
  <c r="G116" i="6"/>
  <c r="G115" i="6"/>
  <c r="G114" i="6"/>
  <c r="G63" i="6"/>
  <c r="G62" i="6"/>
  <c r="G61" i="6"/>
  <c r="G60" i="6"/>
  <c r="G59" i="6"/>
  <c r="G58" i="6"/>
  <c r="G57" i="6"/>
  <c r="G52" i="6"/>
  <c r="G51" i="6"/>
  <c r="G50" i="6"/>
  <c r="G49" i="6"/>
  <c r="G48" i="6"/>
  <c r="G47" i="6"/>
  <c r="G46" i="6"/>
  <c r="L473" i="6" l="1"/>
  <c r="J473" i="6"/>
  <c r="L477" i="6"/>
  <c r="J477" i="6"/>
  <c r="L481" i="6"/>
  <c r="J481" i="6"/>
  <c r="L485" i="6"/>
  <c r="J485" i="6"/>
  <c r="L489" i="6"/>
  <c r="J489" i="6"/>
  <c r="L493" i="6"/>
  <c r="J493" i="6"/>
  <c r="L497" i="6"/>
  <c r="J497" i="6"/>
  <c r="L501" i="6"/>
  <c r="J501" i="6"/>
  <c r="L505" i="6"/>
  <c r="J505" i="6"/>
  <c r="L509" i="6"/>
  <c r="J509" i="6"/>
  <c r="L513" i="6"/>
  <c r="J513" i="6"/>
  <c r="L517" i="6"/>
  <c r="J517" i="6"/>
  <c r="J524" i="6"/>
  <c r="K524" i="6" s="1"/>
  <c r="L524" i="6" s="1"/>
  <c r="J528" i="6"/>
  <c r="K528" i="6" s="1"/>
  <c r="L528" i="6" s="1"/>
  <c r="J532" i="6"/>
  <c r="K532" i="6" s="1"/>
  <c r="L532" i="6" s="1"/>
  <c r="J537" i="6"/>
  <c r="K537" i="6" s="1"/>
  <c r="L537" i="6" s="1"/>
  <c r="J541" i="6"/>
  <c r="K541" i="6" s="1"/>
  <c r="L541" i="6" s="1"/>
  <c r="J545" i="6"/>
  <c r="K545" i="6" s="1"/>
  <c r="L545" i="6" s="1"/>
  <c r="J549" i="6"/>
  <c r="K549" i="6" s="1"/>
  <c r="L549" i="6" s="1"/>
  <c r="J553" i="6"/>
  <c r="K553" i="6" s="1"/>
  <c r="L553" i="6" s="1"/>
  <c r="J557" i="6"/>
  <c r="K557" i="6" s="1"/>
  <c r="L557" i="6" s="1"/>
  <c r="J561" i="6"/>
  <c r="K561" i="6" s="1"/>
  <c r="L561" i="6" s="1"/>
  <c r="J565" i="6"/>
  <c r="K565" i="6" s="1"/>
  <c r="L565" i="6" s="1"/>
  <c r="J569" i="6"/>
  <c r="K569" i="6" s="1"/>
  <c r="L569" i="6" s="1"/>
  <c r="J573" i="6"/>
  <c r="K573" i="6" s="1"/>
  <c r="L573" i="6" s="1"/>
  <c r="L472" i="6"/>
  <c r="J472" i="6"/>
  <c r="L476" i="6"/>
  <c r="J476" i="6"/>
  <c r="L480" i="6"/>
  <c r="J480" i="6"/>
  <c r="L484" i="6"/>
  <c r="J484" i="6"/>
  <c r="L488" i="6"/>
  <c r="J488" i="6"/>
  <c r="L492" i="6"/>
  <c r="J492" i="6"/>
  <c r="L496" i="6"/>
  <c r="J496" i="6"/>
  <c r="L500" i="6"/>
  <c r="J500" i="6"/>
  <c r="L504" i="6"/>
  <c r="J504" i="6"/>
  <c r="L508" i="6"/>
  <c r="J508" i="6"/>
  <c r="L512" i="6"/>
  <c r="J512" i="6"/>
  <c r="L516" i="6"/>
  <c r="J516" i="6"/>
  <c r="L520" i="6"/>
  <c r="J520" i="6"/>
  <c r="J527" i="6"/>
  <c r="K527" i="6" s="1"/>
  <c r="L527" i="6" s="1"/>
  <c r="J531" i="6"/>
  <c r="K531" i="6" s="1"/>
  <c r="L531" i="6" s="1"/>
  <c r="J535" i="6"/>
  <c r="K535" i="6" s="1"/>
  <c r="L535" i="6" s="1"/>
  <c r="J540" i="6"/>
  <c r="K540" i="6" s="1"/>
  <c r="L540" i="6" s="1"/>
  <c r="J544" i="6"/>
  <c r="K544" i="6" s="1"/>
  <c r="L544" i="6" s="1"/>
  <c r="J548" i="6"/>
  <c r="K548" i="6" s="1"/>
  <c r="L548" i="6" s="1"/>
  <c r="J552" i="6"/>
  <c r="K552" i="6" s="1"/>
  <c r="L552" i="6" s="1"/>
  <c r="J556" i="6"/>
  <c r="K556" i="6" s="1"/>
  <c r="L556" i="6" s="1"/>
  <c r="J560" i="6"/>
  <c r="K560" i="6" s="1"/>
  <c r="L560" i="6" s="1"/>
  <c r="J564" i="6"/>
  <c r="K564" i="6" s="1"/>
  <c r="L564" i="6" s="1"/>
  <c r="J568" i="6"/>
  <c r="K568" i="6" s="1"/>
  <c r="L568" i="6" s="1"/>
  <c r="J572" i="6"/>
  <c r="K572" i="6" s="1"/>
  <c r="L572" i="6" s="1"/>
  <c r="L471" i="6"/>
  <c r="J471" i="6"/>
  <c r="L475" i="6"/>
  <c r="J475" i="6"/>
  <c r="L479" i="6"/>
  <c r="J479" i="6"/>
  <c r="L483" i="6"/>
  <c r="J483" i="6"/>
  <c r="L487" i="6"/>
  <c r="J487" i="6"/>
  <c r="L491" i="6"/>
  <c r="J491" i="6"/>
  <c r="L495" i="6"/>
  <c r="J495" i="6"/>
  <c r="L499" i="6"/>
  <c r="J499" i="6"/>
  <c r="L503" i="6"/>
  <c r="J503" i="6"/>
  <c r="L507" i="6"/>
  <c r="J507" i="6"/>
  <c r="L511" i="6"/>
  <c r="J511" i="6"/>
  <c r="L515" i="6"/>
  <c r="J515" i="6"/>
  <c r="L519" i="6"/>
  <c r="J519" i="6"/>
  <c r="J526" i="6"/>
  <c r="K526" i="6" s="1"/>
  <c r="L526" i="6" s="1"/>
  <c r="J530" i="6"/>
  <c r="K530" i="6" s="1"/>
  <c r="L530" i="6" s="1"/>
  <c r="J534" i="6"/>
  <c r="K534" i="6" s="1"/>
  <c r="L534" i="6" s="1"/>
  <c r="J539" i="6"/>
  <c r="K539" i="6" s="1"/>
  <c r="L539" i="6" s="1"/>
  <c r="J543" i="6"/>
  <c r="K543" i="6" s="1"/>
  <c r="L543" i="6" s="1"/>
  <c r="J547" i="6"/>
  <c r="K547" i="6" s="1"/>
  <c r="L547" i="6" s="1"/>
  <c r="J551" i="6"/>
  <c r="K551" i="6" s="1"/>
  <c r="L551" i="6" s="1"/>
  <c r="J555" i="6"/>
  <c r="K555" i="6" s="1"/>
  <c r="L555" i="6" s="1"/>
  <c r="J559" i="6"/>
  <c r="K559" i="6" s="1"/>
  <c r="L559" i="6" s="1"/>
  <c r="J563" i="6"/>
  <c r="K563" i="6" s="1"/>
  <c r="L563" i="6" s="1"/>
  <c r="J567" i="6"/>
  <c r="K567" i="6" s="1"/>
  <c r="L567" i="6" s="1"/>
  <c r="J571" i="6"/>
  <c r="K571" i="6" s="1"/>
  <c r="L571" i="6" s="1"/>
  <c r="L470" i="6"/>
  <c r="J470" i="6"/>
  <c r="L474" i="6"/>
  <c r="J474" i="6"/>
  <c r="L478" i="6"/>
  <c r="J478" i="6"/>
  <c r="L482" i="6"/>
  <c r="J482" i="6"/>
  <c r="L486" i="6"/>
  <c r="J486" i="6"/>
  <c r="L490" i="6"/>
  <c r="J490" i="6"/>
  <c r="L494" i="6"/>
  <c r="J494" i="6"/>
  <c r="L498" i="6"/>
  <c r="J498" i="6"/>
  <c r="L502" i="6"/>
  <c r="J502" i="6"/>
  <c r="L506" i="6"/>
  <c r="J506" i="6"/>
  <c r="L510" i="6"/>
  <c r="J510" i="6"/>
  <c r="L514" i="6"/>
  <c r="J514" i="6"/>
  <c r="L518" i="6"/>
  <c r="J518" i="6"/>
  <c r="J525" i="6"/>
  <c r="K525" i="6" s="1"/>
  <c r="L525" i="6" s="1"/>
  <c r="J529" i="6"/>
  <c r="K529" i="6" s="1"/>
  <c r="L529" i="6" s="1"/>
  <c r="J533" i="6"/>
  <c r="K533" i="6" s="1"/>
  <c r="L533" i="6" s="1"/>
  <c r="J538" i="6"/>
  <c r="K538" i="6" s="1"/>
  <c r="L538" i="6" s="1"/>
  <c r="J542" i="6"/>
  <c r="K542" i="6" s="1"/>
  <c r="L542" i="6" s="1"/>
  <c r="J546" i="6"/>
  <c r="K546" i="6" s="1"/>
  <c r="L546" i="6" s="1"/>
  <c r="J550" i="6"/>
  <c r="K550" i="6" s="1"/>
  <c r="L550" i="6" s="1"/>
  <c r="J554" i="6"/>
  <c r="K554" i="6" s="1"/>
  <c r="L554" i="6" s="1"/>
  <c r="J558" i="6"/>
  <c r="K558" i="6" s="1"/>
  <c r="L558" i="6" s="1"/>
  <c r="J562" i="6"/>
  <c r="K562" i="6" s="1"/>
  <c r="L562" i="6" s="1"/>
  <c r="J566" i="6"/>
  <c r="K566" i="6" s="1"/>
  <c r="L566" i="6" s="1"/>
  <c r="J570" i="6"/>
  <c r="K570" i="6" s="1"/>
  <c r="L570" i="6" s="1"/>
  <c r="L469" i="6"/>
  <c r="J469" i="6"/>
  <c r="I355" i="6"/>
  <c r="I351" i="6"/>
  <c r="I347" i="6"/>
  <c r="I343" i="6"/>
  <c r="I339" i="6"/>
  <c r="I335" i="6"/>
  <c r="I331" i="6"/>
  <c r="I327" i="6"/>
  <c r="I323" i="6"/>
  <c r="I319" i="6"/>
  <c r="I315" i="6"/>
  <c r="I311" i="6"/>
  <c r="I307" i="6"/>
  <c r="I303" i="6"/>
  <c r="I299" i="6"/>
  <c r="I295" i="6"/>
  <c r="I291" i="6"/>
  <c r="I287" i="6"/>
  <c r="I282" i="6"/>
  <c r="I278" i="6"/>
  <c r="I274" i="6"/>
  <c r="I270" i="6"/>
  <c r="I266" i="6"/>
  <c r="I262" i="6"/>
  <c r="I258" i="6"/>
  <c r="I464" i="6"/>
  <c r="I460" i="6"/>
  <c r="I456" i="6"/>
  <c r="I452" i="6"/>
  <c r="I448" i="6"/>
  <c r="I444" i="6"/>
  <c r="I440" i="6"/>
  <c r="I436" i="6"/>
  <c r="I432" i="6"/>
  <c r="I428" i="6"/>
  <c r="I424" i="6"/>
  <c r="I420" i="6"/>
  <c r="I416" i="6"/>
  <c r="I411" i="6"/>
  <c r="I407" i="6"/>
  <c r="I403" i="6"/>
  <c r="I399" i="6"/>
  <c r="I395" i="6"/>
  <c r="I391" i="6"/>
  <c r="I387" i="6"/>
  <c r="I383" i="6"/>
  <c r="I379" i="6"/>
  <c r="I373" i="6"/>
  <c r="I371" i="6"/>
  <c r="I367" i="6"/>
  <c r="I363" i="6"/>
  <c r="I358" i="6"/>
  <c r="I354" i="6"/>
  <c r="I350" i="6"/>
  <c r="I346" i="6"/>
  <c r="I342" i="6"/>
  <c r="I338" i="6"/>
  <c r="I334" i="6"/>
  <c r="I330" i="6"/>
  <c r="I326" i="6"/>
  <c r="I322" i="6"/>
  <c r="I318" i="6"/>
  <c r="I314" i="6"/>
  <c r="I310" i="6"/>
  <c r="I306" i="6"/>
  <c r="I302" i="6"/>
  <c r="I298" i="6"/>
  <c r="I294" i="6"/>
  <c r="I290" i="6"/>
  <c r="I286" i="6"/>
  <c r="I281" i="6"/>
  <c r="I277" i="6"/>
  <c r="I273" i="6"/>
  <c r="I269" i="6"/>
  <c r="I265" i="6"/>
  <c r="I261" i="6"/>
  <c r="I257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I414" i="6"/>
  <c r="I410" i="6"/>
  <c r="I406" i="6"/>
  <c r="I402" i="6"/>
  <c r="I398" i="6"/>
  <c r="I394" i="6"/>
  <c r="I390" i="6"/>
  <c r="I386" i="6"/>
  <c r="I382" i="6"/>
  <c r="I378" i="6"/>
  <c r="I375" i="6"/>
  <c r="I370" i="6"/>
  <c r="I366" i="6"/>
  <c r="I361" i="6"/>
  <c r="I357" i="6"/>
  <c r="I353" i="6"/>
  <c r="I349" i="6"/>
  <c r="I345" i="6"/>
  <c r="I341" i="6"/>
  <c r="I337" i="6"/>
  <c r="I333" i="6"/>
  <c r="I329" i="6"/>
  <c r="I325" i="6"/>
  <c r="I321" i="6"/>
  <c r="I317" i="6"/>
  <c r="I313" i="6"/>
  <c r="I283" i="6"/>
  <c r="I305" i="6"/>
  <c r="I301" i="6"/>
  <c r="I297" i="6"/>
  <c r="I293" i="6"/>
  <c r="I289" i="6"/>
  <c r="I285" i="6"/>
  <c r="I280" i="6"/>
  <c r="I276" i="6"/>
  <c r="I272" i="6"/>
  <c r="I268" i="6"/>
  <c r="I264" i="6"/>
  <c r="I26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I413" i="6"/>
  <c r="I409" i="6"/>
  <c r="I405" i="6"/>
  <c r="I401" i="6"/>
  <c r="I397" i="6"/>
  <c r="I393" i="6"/>
  <c r="I389" i="6"/>
  <c r="I385" i="6"/>
  <c r="I381" i="6"/>
  <c r="I377" i="6"/>
  <c r="I374" i="6"/>
  <c r="I369" i="6"/>
  <c r="I365" i="6"/>
  <c r="I360" i="6"/>
  <c r="I356" i="6"/>
  <c r="I352" i="6"/>
  <c r="I348" i="6"/>
  <c r="I344" i="6"/>
  <c r="I340" i="6"/>
  <c r="I336" i="6"/>
  <c r="I332" i="6"/>
  <c r="I328" i="6"/>
  <c r="I324" i="6"/>
  <c r="I320" i="6"/>
  <c r="I316" i="6"/>
  <c r="I312" i="6"/>
  <c r="I308" i="6"/>
  <c r="I304" i="6"/>
  <c r="I300" i="6"/>
  <c r="I296" i="6"/>
  <c r="I292" i="6"/>
  <c r="I288" i="6"/>
  <c r="I284" i="6"/>
  <c r="I279" i="6"/>
  <c r="I275" i="6"/>
  <c r="I271" i="6"/>
  <c r="I267" i="6"/>
  <c r="I263" i="6"/>
  <c r="I259" i="6"/>
  <c r="I465" i="6"/>
  <c r="I461" i="6"/>
  <c r="I457" i="6"/>
  <c r="I453" i="6"/>
  <c r="I449" i="6"/>
  <c r="I445" i="6"/>
  <c r="I441" i="6"/>
  <c r="I437" i="6"/>
  <c r="I433" i="6"/>
  <c r="I429" i="6"/>
  <c r="I425" i="6"/>
  <c r="I421" i="6"/>
  <c r="I417" i="6"/>
  <c r="I412" i="6"/>
  <c r="I408" i="6"/>
  <c r="I404" i="6"/>
  <c r="I400" i="6"/>
  <c r="I396" i="6"/>
  <c r="I392" i="6"/>
  <c r="I388" i="6"/>
  <c r="I384" i="6"/>
  <c r="I380" i="6"/>
  <c r="I376" i="6"/>
  <c r="I372" i="6"/>
  <c r="I368" i="6"/>
  <c r="I364" i="6"/>
  <c r="I359" i="6"/>
  <c r="L46" i="6"/>
  <c r="L48" i="6"/>
  <c r="L50" i="6"/>
  <c r="L52" i="6"/>
  <c r="L58" i="6"/>
  <c r="L60" i="6"/>
  <c r="L62" i="6"/>
  <c r="H114" i="6"/>
  <c r="L114" i="6" s="1"/>
  <c r="H116" i="6"/>
  <c r="L116" i="6" s="1"/>
  <c r="H118" i="6"/>
  <c r="L118" i="6" s="1"/>
  <c r="H120" i="6"/>
  <c r="L120" i="6" s="1"/>
  <c r="H126" i="6"/>
  <c r="L126" i="6" s="1"/>
  <c r="H128" i="6"/>
  <c r="L128" i="6" s="1"/>
  <c r="H130" i="6"/>
  <c r="L130" i="6" s="1"/>
  <c r="H136" i="6"/>
  <c r="L136" i="6" s="1"/>
  <c r="H138" i="6"/>
  <c r="L138" i="6" s="1"/>
  <c r="H140" i="6"/>
  <c r="L140" i="6" s="1"/>
  <c r="H142" i="6"/>
  <c r="L142" i="6" s="1"/>
  <c r="H183" i="6"/>
  <c r="L183" i="6" s="1"/>
  <c r="H185" i="6"/>
  <c r="L185" i="6" s="1"/>
  <c r="H187" i="6"/>
  <c r="L187" i="6" s="1"/>
  <c r="H193" i="6"/>
  <c r="L193" i="6" s="1"/>
  <c r="H195" i="6"/>
  <c r="L195" i="6" s="1"/>
  <c r="H197" i="6"/>
  <c r="L197" i="6" s="1"/>
  <c r="H199" i="6"/>
  <c r="L199" i="6" s="1"/>
  <c r="H205" i="6"/>
  <c r="L205" i="6" s="1"/>
  <c r="H207" i="6"/>
  <c r="L207" i="6" s="1"/>
  <c r="H209" i="6"/>
  <c r="L209" i="6" s="1"/>
  <c r="L47" i="6"/>
  <c r="L49" i="6"/>
  <c r="L51" i="6"/>
  <c r="L57" i="6"/>
  <c r="L59" i="6"/>
  <c r="L61" i="6"/>
  <c r="L63" i="6"/>
  <c r="H115" i="6"/>
  <c r="L115" i="6" s="1"/>
  <c r="H117" i="6"/>
  <c r="L117" i="6" s="1"/>
  <c r="H119" i="6"/>
  <c r="L119" i="6" s="1"/>
  <c r="H125" i="6"/>
  <c r="L125" i="6" s="1"/>
  <c r="H127" i="6"/>
  <c r="L127" i="6" s="1"/>
  <c r="H129" i="6"/>
  <c r="L129" i="6" s="1"/>
  <c r="H131" i="6"/>
  <c r="L131" i="6" s="1"/>
  <c r="H137" i="6"/>
  <c r="L137" i="6" s="1"/>
  <c r="H139" i="6"/>
  <c r="L139" i="6" s="1"/>
  <c r="H141" i="6"/>
  <c r="L141" i="6" s="1"/>
  <c r="H182" i="6"/>
  <c r="L182" i="6" s="1"/>
  <c r="H184" i="6"/>
  <c r="L184" i="6" s="1"/>
  <c r="H186" i="6"/>
  <c r="L186" i="6" s="1"/>
  <c r="H188" i="6"/>
  <c r="L188" i="6" s="1"/>
  <c r="H194" i="6"/>
  <c r="L194" i="6" s="1"/>
  <c r="H196" i="6"/>
  <c r="L196" i="6" s="1"/>
  <c r="H198" i="6"/>
  <c r="L198" i="6" s="1"/>
  <c r="H204" i="6"/>
  <c r="L204" i="6" s="1"/>
  <c r="H206" i="6"/>
  <c r="L206" i="6" s="1"/>
  <c r="H208" i="6"/>
  <c r="L208" i="6" s="1"/>
  <c r="H210" i="6"/>
  <c r="L210" i="6" s="1"/>
  <c r="G41" i="6"/>
  <c r="G40" i="6"/>
  <c r="G39" i="6"/>
  <c r="G38" i="6"/>
  <c r="G37" i="6"/>
  <c r="G36" i="6"/>
  <c r="G35" i="6"/>
  <c r="J359" i="6" l="1"/>
  <c r="K359" i="6" s="1"/>
  <c r="L359" i="6" s="1"/>
  <c r="L364" i="6"/>
  <c r="J364" i="6"/>
  <c r="L368" i="6"/>
  <c r="J368" i="6"/>
  <c r="L372" i="6"/>
  <c r="J372" i="6"/>
  <c r="L376" i="6"/>
  <c r="J376" i="6"/>
  <c r="L380" i="6"/>
  <c r="J380" i="6"/>
  <c r="L384" i="6"/>
  <c r="J384" i="6"/>
  <c r="L388" i="6"/>
  <c r="J388" i="6"/>
  <c r="L392" i="6"/>
  <c r="J392" i="6"/>
  <c r="L396" i="6"/>
  <c r="J396" i="6"/>
  <c r="L400" i="6"/>
  <c r="J400" i="6"/>
  <c r="L404" i="6"/>
  <c r="J404" i="6"/>
  <c r="L408" i="6"/>
  <c r="J408" i="6"/>
  <c r="L412" i="6"/>
  <c r="J412" i="6"/>
  <c r="J417" i="6"/>
  <c r="K417" i="6" s="1"/>
  <c r="L417" i="6" s="1"/>
  <c r="J421" i="6"/>
  <c r="K421" i="6" s="1"/>
  <c r="L421" i="6" s="1"/>
  <c r="J425" i="6"/>
  <c r="K425" i="6" s="1"/>
  <c r="L425" i="6" s="1"/>
  <c r="J429" i="6"/>
  <c r="K429" i="6" s="1"/>
  <c r="L429" i="6" s="1"/>
  <c r="J433" i="6"/>
  <c r="K433" i="6" s="1"/>
  <c r="L433" i="6" s="1"/>
  <c r="J437" i="6"/>
  <c r="K437" i="6" s="1"/>
  <c r="L437" i="6" s="1"/>
  <c r="J441" i="6"/>
  <c r="K441" i="6" s="1"/>
  <c r="L441" i="6" s="1"/>
  <c r="J445" i="6"/>
  <c r="K445" i="6" s="1"/>
  <c r="L445" i="6" s="1"/>
  <c r="J449" i="6"/>
  <c r="K449" i="6" s="1"/>
  <c r="L449" i="6" s="1"/>
  <c r="J453" i="6"/>
  <c r="K453" i="6" s="1"/>
  <c r="L453" i="6" s="1"/>
  <c r="J457" i="6"/>
  <c r="K457" i="6" s="1"/>
  <c r="L457" i="6" s="1"/>
  <c r="J461" i="6"/>
  <c r="K461" i="6" s="1"/>
  <c r="L461" i="6" s="1"/>
  <c r="J465" i="6"/>
  <c r="K465" i="6" s="1"/>
  <c r="L465" i="6" s="1"/>
  <c r="L259" i="6"/>
  <c r="J259" i="6"/>
  <c r="L263" i="6"/>
  <c r="J263" i="6"/>
  <c r="L267" i="6"/>
  <c r="J267" i="6"/>
  <c r="L271" i="6"/>
  <c r="J271" i="6"/>
  <c r="L275" i="6"/>
  <c r="J275" i="6"/>
  <c r="L279" i="6"/>
  <c r="J279" i="6"/>
  <c r="L284" i="6"/>
  <c r="J284" i="6"/>
  <c r="L288" i="6"/>
  <c r="J288" i="6"/>
  <c r="L292" i="6"/>
  <c r="J292" i="6"/>
  <c r="L296" i="6"/>
  <c r="J296" i="6"/>
  <c r="L300" i="6"/>
  <c r="J300" i="6"/>
  <c r="L304" i="6"/>
  <c r="J304" i="6"/>
  <c r="L308" i="6"/>
  <c r="J308" i="6"/>
  <c r="J312" i="6"/>
  <c r="K312" i="6" s="1"/>
  <c r="L312" i="6" s="1"/>
  <c r="J316" i="6"/>
  <c r="K316" i="6" s="1"/>
  <c r="L316" i="6" s="1"/>
  <c r="J320" i="6"/>
  <c r="K320" i="6" s="1"/>
  <c r="L320" i="6" s="1"/>
  <c r="J324" i="6"/>
  <c r="K324" i="6" s="1"/>
  <c r="L324" i="6" s="1"/>
  <c r="J328" i="6"/>
  <c r="K328" i="6" s="1"/>
  <c r="L328" i="6" s="1"/>
  <c r="J332" i="6"/>
  <c r="K332" i="6" s="1"/>
  <c r="L332" i="6" s="1"/>
  <c r="J336" i="6"/>
  <c r="K336" i="6" s="1"/>
  <c r="L336" i="6" s="1"/>
  <c r="J340" i="6"/>
  <c r="K340" i="6" s="1"/>
  <c r="L340" i="6" s="1"/>
  <c r="J344" i="6"/>
  <c r="K344" i="6" s="1"/>
  <c r="L344" i="6" s="1"/>
  <c r="J348" i="6"/>
  <c r="K348" i="6" s="1"/>
  <c r="L348" i="6" s="1"/>
  <c r="J352" i="6"/>
  <c r="K352" i="6" s="1"/>
  <c r="L352" i="6" s="1"/>
  <c r="J356" i="6"/>
  <c r="K356" i="6" s="1"/>
  <c r="L356" i="6" s="1"/>
  <c r="J360" i="6"/>
  <c r="K360" i="6" s="1"/>
  <c r="L360" i="6" s="1"/>
  <c r="L365" i="6"/>
  <c r="J365" i="6"/>
  <c r="L369" i="6"/>
  <c r="J369" i="6"/>
  <c r="L374" i="6"/>
  <c r="J374" i="6"/>
  <c r="L377" i="6"/>
  <c r="J377" i="6"/>
  <c r="L381" i="6"/>
  <c r="J381" i="6"/>
  <c r="L385" i="6"/>
  <c r="J385" i="6"/>
  <c r="L389" i="6"/>
  <c r="J389" i="6"/>
  <c r="L393" i="6"/>
  <c r="J393" i="6"/>
  <c r="L397" i="6"/>
  <c r="J397" i="6"/>
  <c r="L401" i="6"/>
  <c r="J401" i="6"/>
  <c r="L405" i="6"/>
  <c r="J405" i="6"/>
  <c r="L409" i="6"/>
  <c r="J409" i="6"/>
  <c r="L413" i="6"/>
  <c r="J413" i="6"/>
  <c r="J418" i="6"/>
  <c r="K418" i="6" s="1"/>
  <c r="L418" i="6" s="1"/>
  <c r="J422" i="6"/>
  <c r="K422" i="6" s="1"/>
  <c r="L422" i="6" s="1"/>
  <c r="J426" i="6"/>
  <c r="K426" i="6" s="1"/>
  <c r="L426" i="6" s="1"/>
  <c r="J430" i="6"/>
  <c r="K430" i="6" s="1"/>
  <c r="L430" i="6" s="1"/>
  <c r="J434" i="6"/>
  <c r="K434" i="6" s="1"/>
  <c r="L434" i="6" s="1"/>
  <c r="J438" i="6"/>
  <c r="K438" i="6" s="1"/>
  <c r="L438" i="6" s="1"/>
  <c r="J442" i="6"/>
  <c r="K442" i="6" s="1"/>
  <c r="L442" i="6" s="1"/>
  <c r="J446" i="6"/>
  <c r="K446" i="6" s="1"/>
  <c r="L446" i="6" s="1"/>
  <c r="J450" i="6"/>
  <c r="K450" i="6" s="1"/>
  <c r="L450" i="6" s="1"/>
  <c r="J454" i="6"/>
  <c r="K454" i="6" s="1"/>
  <c r="L454" i="6" s="1"/>
  <c r="J458" i="6"/>
  <c r="K458" i="6" s="1"/>
  <c r="L458" i="6" s="1"/>
  <c r="J462" i="6"/>
  <c r="K462" i="6" s="1"/>
  <c r="L462" i="6" s="1"/>
  <c r="J466" i="6"/>
  <c r="K466" i="6" s="1"/>
  <c r="L466" i="6" s="1"/>
  <c r="L260" i="6"/>
  <c r="J260" i="6"/>
  <c r="L264" i="6"/>
  <c r="J264" i="6"/>
  <c r="L268" i="6"/>
  <c r="J268" i="6"/>
  <c r="L272" i="6"/>
  <c r="J272" i="6"/>
  <c r="L276" i="6"/>
  <c r="J276" i="6"/>
  <c r="L280" i="6"/>
  <c r="J280" i="6"/>
  <c r="L285" i="6"/>
  <c r="J285" i="6"/>
  <c r="L289" i="6"/>
  <c r="J289" i="6"/>
  <c r="L293" i="6"/>
  <c r="J293" i="6"/>
  <c r="L297" i="6"/>
  <c r="J297" i="6"/>
  <c r="L301" i="6"/>
  <c r="J301" i="6"/>
  <c r="L305" i="6"/>
  <c r="J305" i="6"/>
  <c r="L283" i="6"/>
  <c r="J283" i="6"/>
  <c r="J313" i="6"/>
  <c r="K313" i="6" s="1"/>
  <c r="L313" i="6" s="1"/>
  <c r="J317" i="6"/>
  <c r="K317" i="6" s="1"/>
  <c r="L317" i="6" s="1"/>
  <c r="J321" i="6"/>
  <c r="K321" i="6" s="1"/>
  <c r="L321" i="6" s="1"/>
  <c r="J325" i="6"/>
  <c r="K325" i="6" s="1"/>
  <c r="L325" i="6" s="1"/>
  <c r="J329" i="6"/>
  <c r="K329" i="6" s="1"/>
  <c r="L329" i="6" s="1"/>
  <c r="J333" i="6"/>
  <c r="K333" i="6" s="1"/>
  <c r="L333" i="6" s="1"/>
  <c r="J337" i="6"/>
  <c r="K337" i="6" s="1"/>
  <c r="L337" i="6" s="1"/>
  <c r="J341" i="6"/>
  <c r="K341" i="6" s="1"/>
  <c r="L341" i="6" s="1"/>
  <c r="J345" i="6"/>
  <c r="K345" i="6" s="1"/>
  <c r="L345" i="6" s="1"/>
  <c r="J349" i="6"/>
  <c r="K349" i="6" s="1"/>
  <c r="L349" i="6" s="1"/>
  <c r="J353" i="6"/>
  <c r="K353" i="6" s="1"/>
  <c r="L353" i="6" s="1"/>
  <c r="J357" i="6"/>
  <c r="K357" i="6" s="1"/>
  <c r="L357" i="6" s="1"/>
  <c r="J361" i="6"/>
  <c r="K361" i="6" s="1"/>
  <c r="L361" i="6" s="1"/>
  <c r="L366" i="6"/>
  <c r="J366" i="6"/>
  <c r="L370" i="6"/>
  <c r="J370" i="6"/>
  <c r="L375" i="6"/>
  <c r="J375" i="6"/>
  <c r="L378" i="6"/>
  <c r="J378" i="6"/>
  <c r="L382" i="6"/>
  <c r="J382" i="6"/>
  <c r="L386" i="6"/>
  <c r="J386" i="6"/>
  <c r="L390" i="6"/>
  <c r="J390" i="6"/>
  <c r="L394" i="6"/>
  <c r="J394" i="6"/>
  <c r="L398" i="6"/>
  <c r="J398" i="6"/>
  <c r="L402" i="6"/>
  <c r="J402" i="6"/>
  <c r="L406" i="6"/>
  <c r="J406" i="6"/>
  <c r="L410" i="6"/>
  <c r="J410" i="6"/>
  <c r="L414" i="6"/>
  <c r="J414" i="6"/>
  <c r="J419" i="6"/>
  <c r="K419" i="6" s="1"/>
  <c r="L419" i="6" s="1"/>
  <c r="J423" i="6"/>
  <c r="K423" i="6" s="1"/>
  <c r="L423" i="6" s="1"/>
  <c r="J427" i="6"/>
  <c r="K427" i="6" s="1"/>
  <c r="L427" i="6" s="1"/>
  <c r="J431" i="6"/>
  <c r="K431" i="6" s="1"/>
  <c r="L431" i="6" s="1"/>
  <c r="J435" i="6"/>
  <c r="K435" i="6" s="1"/>
  <c r="L435" i="6" s="1"/>
  <c r="J439" i="6"/>
  <c r="K439" i="6" s="1"/>
  <c r="L439" i="6" s="1"/>
  <c r="J443" i="6"/>
  <c r="K443" i="6" s="1"/>
  <c r="L443" i="6" s="1"/>
  <c r="J447" i="6"/>
  <c r="K447" i="6" s="1"/>
  <c r="L447" i="6" s="1"/>
  <c r="J451" i="6"/>
  <c r="K451" i="6" s="1"/>
  <c r="L451" i="6" s="1"/>
  <c r="J455" i="6"/>
  <c r="K455" i="6" s="1"/>
  <c r="L455" i="6" s="1"/>
  <c r="J459" i="6"/>
  <c r="K459" i="6" s="1"/>
  <c r="L459" i="6" s="1"/>
  <c r="J463" i="6"/>
  <c r="K463" i="6" s="1"/>
  <c r="L463" i="6" s="1"/>
  <c r="J467" i="6"/>
  <c r="K467" i="6" s="1"/>
  <c r="L467" i="6" s="1"/>
  <c r="L257" i="6"/>
  <c r="J257" i="6"/>
  <c r="L261" i="6"/>
  <c r="J261" i="6"/>
  <c r="L265" i="6"/>
  <c r="J265" i="6"/>
  <c r="L269" i="6"/>
  <c r="J269" i="6"/>
  <c r="L273" i="6"/>
  <c r="J273" i="6"/>
  <c r="L277" i="6"/>
  <c r="J277" i="6"/>
  <c r="L281" i="6"/>
  <c r="J281" i="6"/>
  <c r="L286" i="6"/>
  <c r="J286" i="6"/>
  <c r="L290" i="6"/>
  <c r="J290" i="6"/>
  <c r="L294" i="6"/>
  <c r="J294" i="6"/>
  <c r="L298" i="6"/>
  <c r="J298" i="6"/>
  <c r="L302" i="6"/>
  <c r="J302" i="6"/>
  <c r="L306" i="6"/>
  <c r="J306" i="6"/>
  <c r="J310" i="6"/>
  <c r="K310" i="6" s="1"/>
  <c r="L310" i="6" s="1"/>
  <c r="J314" i="6"/>
  <c r="K314" i="6" s="1"/>
  <c r="L314" i="6" s="1"/>
  <c r="J318" i="6"/>
  <c r="K318" i="6" s="1"/>
  <c r="L318" i="6" s="1"/>
  <c r="J322" i="6"/>
  <c r="K322" i="6" s="1"/>
  <c r="L322" i="6" s="1"/>
  <c r="J326" i="6"/>
  <c r="K326" i="6" s="1"/>
  <c r="L326" i="6" s="1"/>
  <c r="J330" i="6"/>
  <c r="K330" i="6" s="1"/>
  <c r="L330" i="6" s="1"/>
  <c r="J334" i="6"/>
  <c r="K334" i="6" s="1"/>
  <c r="L334" i="6" s="1"/>
  <c r="J338" i="6"/>
  <c r="K338" i="6" s="1"/>
  <c r="L338" i="6" s="1"/>
  <c r="J342" i="6"/>
  <c r="K342" i="6" s="1"/>
  <c r="L342" i="6" s="1"/>
  <c r="J346" i="6"/>
  <c r="K346" i="6" s="1"/>
  <c r="L346" i="6" s="1"/>
  <c r="J350" i="6"/>
  <c r="K350" i="6" s="1"/>
  <c r="L350" i="6" s="1"/>
  <c r="J354" i="6"/>
  <c r="K354" i="6" s="1"/>
  <c r="L354" i="6" s="1"/>
  <c r="J358" i="6"/>
  <c r="K358" i="6" s="1"/>
  <c r="L358" i="6" s="1"/>
  <c r="L363" i="6"/>
  <c r="J363" i="6"/>
  <c r="L367" i="6"/>
  <c r="J367" i="6"/>
  <c r="L371" i="6"/>
  <c r="J371" i="6"/>
  <c r="L373" i="6"/>
  <c r="J373" i="6"/>
  <c r="L379" i="6"/>
  <c r="J379" i="6"/>
  <c r="L383" i="6"/>
  <c r="J383" i="6"/>
  <c r="L387" i="6"/>
  <c r="J387" i="6"/>
  <c r="L391" i="6"/>
  <c r="J391" i="6"/>
  <c r="L395" i="6"/>
  <c r="J395" i="6"/>
  <c r="L399" i="6"/>
  <c r="J399" i="6"/>
  <c r="L403" i="6"/>
  <c r="J403" i="6"/>
  <c r="L407" i="6"/>
  <c r="J407" i="6"/>
  <c r="L411" i="6"/>
  <c r="J411" i="6"/>
  <c r="J416" i="6"/>
  <c r="K416" i="6" s="1"/>
  <c r="L416" i="6" s="1"/>
  <c r="J420" i="6"/>
  <c r="K420" i="6" s="1"/>
  <c r="L420" i="6" s="1"/>
  <c r="J424" i="6"/>
  <c r="K424" i="6" s="1"/>
  <c r="L424" i="6" s="1"/>
  <c r="J428" i="6"/>
  <c r="K428" i="6" s="1"/>
  <c r="L428" i="6" s="1"/>
  <c r="J432" i="6"/>
  <c r="K432" i="6" s="1"/>
  <c r="L432" i="6" s="1"/>
  <c r="J436" i="6"/>
  <c r="K436" i="6" s="1"/>
  <c r="L436" i="6" s="1"/>
  <c r="J440" i="6"/>
  <c r="K440" i="6" s="1"/>
  <c r="L440" i="6" s="1"/>
  <c r="J444" i="6"/>
  <c r="K444" i="6" s="1"/>
  <c r="L444" i="6" s="1"/>
  <c r="J448" i="6"/>
  <c r="K448" i="6" s="1"/>
  <c r="L448" i="6" s="1"/>
  <c r="J452" i="6"/>
  <c r="K452" i="6" s="1"/>
  <c r="L452" i="6" s="1"/>
  <c r="J456" i="6"/>
  <c r="K456" i="6" s="1"/>
  <c r="L456" i="6" s="1"/>
  <c r="J460" i="6"/>
  <c r="K460" i="6" s="1"/>
  <c r="L460" i="6" s="1"/>
  <c r="J464" i="6"/>
  <c r="K464" i="6" s="1"/>
  <c r="L464" i="6" s="1"/>
  <c r="L258" i="6"/>
  <c r="J258" i="6"/>
  <c r="L262" i="6"/>
  <c r="J262" i="6"/>
  <c r="L266" i="6"/>
  <c r="J266" i="6"/>
  <c r="L270" i="6"/>
  <c r="J270" i="6"/>
  <c r="L274" i="6"/>
  <c r="J274" i="6"/>
  <c r="L278" i="6"/>
  <c r="J278" i="6"/>
  <c r="L282" i="6"/>
  <c r="J282" i="6"/>
  <c r="L287" i="6"/>
  <c r="J287" i="6"/>
  <c r="L291" i="6"/>
  <c r="J291" i="6"/>
  <c r="L295" i="6"/>
  <c r="J295" i="6"/>
  <c r="L299" i="6"/>
  <c r="J299" i="6"/>
  <c r="L303" i="6"/>
  <c r="J303" i="6"/>
  <c r="L307" i="6"/>
  <c r="J307" i="6"/>
  <c r="J311" i="6"/>
  <c r="K311" i="6" s="1"/>
  <c r="L311" i="6" s="1"/>
  <c r="J315" i="6"/>
  <c r="K315" i="6" s="1"/>
  <c r="L315" i="6" s="1"/>
  <c r="J319" i="6"/>
  <c r="K319" i="6" s="1"/>
  <c r="L319" i="6" s="1"/>
  <c r="J323" i="6"/>
  <c r="K323" i="6" s="1"/>
  <c r="L323" i="6" s="1"/>
  <c r="J327" i="6"/>
  <c r="K327" i="6" s="1"/>
  <c r="L327" i="6" s="1"/>
  <c r="J331" i="6"/>
  <c r="K331" i="6" s="1"/>
  <c r="L331" i="6" s="1"/>
  <c r="J335" i="6"/>
  <c r="K335" i="6" s="1"/>
  <c r="L335" i="6" s="1"/>
  <c r="J339" i="6"/>
  <c r="K339" i="6" s="1"/>
  <c r="L339" i="6" s="1"/>
  <c r="J343" i="6"/>
  <c r="K343" i="6" s="1"/>
  <c r="L343" i="6" s="1"/>
  <c r="J347" i="6"/>
  <c r="K347" i="6" s="1"/>
  <c r="L347" i="6" s="1"/>
  <c r="J351" i="6"/>
  <c r="K351" i="6" s="1"/>
  <c r="L351" i="6" s="1"/>
  <c r="J355" i="6"/>
  <c r="K355" i="6" s="1"/>
  <c r="L355" i="6" s="1"/>
  <c r="L36" i="6"/>
  <c r="L38" i="6"/>
  <c r="L40" i="6"/>
  <c r="L35" i="6"/>
  <c r="L37" i="6"/>
  <c r="L39" i="6"/>
  <c r="L41" i="6"/>
</calcChain>
</file>

<file path=xl/sharedStrings.xml><?xml version="1.0" encoding="utf-8"?>
<sst xmlns="http://schemas.openxmlformats.org/spreadsheetml/2006/main" count="17919" uniqueCount="5016">
  <si>
    <t>Description</t>
  </si>
  <si>
    <t>Krug Item Code</t>
  </si>
  <si>
    <t xml:space="preserve">Product Options Included </t>
  </si>
  <si>
    <t>GOCUID / CIUGdC</t>
  </si>
  <si>
    <t xml:space="preserve">Product Dimensions </t>
  </si>
  <si>
    <t>36x24</t>
  </si>
  <si>
    <t>42x24</t>
  </si>
  <si>
    <t>48x24</t>
  </si>
  <si>
    <t>54x24</t>
  </si>
  <si>
    <t>60x24</t>
  </si>
  <si>
    <t>66x24</t>
  </si>
  <si>
    <t>72x24</t>
  </si>
  <si>
    <t>30x30</t>
  </si>
  <si>
    <t>36x30</t>
  </si>
  <si>
    <t>48x30</t>
  </si>
  <si>
    <t>54x30</t>
  </si>
  <si>
    <t>60x30</t>
  </si>
  <si>
    <t>66x30</t>
  </si>
  <si>
    <t>72x30</t>
  </si>
  <si>
    <t>78x30</t>
  </si>
  <si>
    <t>84x30</t>
  </si>
  <si>
    <t>42x30</t>
  </si>
  <si>
    <t>60x36</t>
  </si>
  <si>
    <t>66x36</t>
  </si>
  <si>
    <t>72x36</t>
  </si>
  <si>
    <t>36x36</t>
  </si>
  <si>
    <t>42x42</t>
  </si>
  <si>
    <t>30" Dia</t>
  </si>
  <si>
    <t>36" Dia</t>
  </si>
  <si>
    <t>42" Dia</t>
  </si>
  <si>
    <t>48" Dia</t>
  </si>
  <si>
    <t>54" Dia</t>
  </si>
  <si>
    <t>Krug Inc.- SA61THRT-4224</t>
  </si>
  <si>
    <t>Krug Inc.- SA61THRT-4824</t>
  </si>
  <si>
    <t>Krug Inc.- SA61THRT-5424</t>
  </si>
  <si>
    <t>Krug Inc.-SA61THRT-6024</t>
  </si>
  <si>
    <t>Krug Inc.- SA61THRT-4230</t>
  </si>
  <si>
    <t>Krug Inc.- SA61THRT-4830</t>
  </si>
  <si>
    <t>Krug Inc.- SA61THRT-5430</t>
  </si>
  <si>
    <t>Krug Inc.- SA61THRT-6030</t>
  </si>
  <si>
    <t>48x48</t>
  </si>
  <si>
    <t>54x54</t>
  </si>
  <si>
    <t xml:space="preserve">Laminate Top/ PVC Edge/ 4 Metal Legs </t>
  </si>
  <si>
    <t>Krug Inc.- 6801-60-30</t>
  </si>
  <si>
    <t>Krug Inc.- 51616036</t>
  </si>
  <si>
    <t>Krug Inc.- 51616636</t>
  </si>
  <si>
    <t>Krug Inc.- 51617236</t>
  </si>
  <si>
    <t>Krug Inc.- 51617836</t>
  </si>
  <si>
    <t>Krug Inc.- 51618436</t>
  </si>
  <si>
    <t>Krug Inc.- 51619036</t>
  </si>
  <si>
    <t>Krug Inc.- 51619636</t>
  </si>
  <si>
    <t>Krug Inc.- 516110236</t>
  </si>
  <si>
    <t>Krug Inc.- 516110836</t>
  </si>
  <si>
    <t>Krug Inc.- 516111436</t>
  </si>
  <si>
    <t>Krug Inc.- 516112036</t>
  </si>
  <si>
    <t>Krug Inc.- 51616042</t>
  </si>
  <si>
    <t>Krug Inc.- 51616642</t>
  </si>
  <si>
    <t>Krug Inc.- 51617242</t>
  </si>
  <si>
    <t>Krug Inc.- 51617842</t>
  </si>
  <si>
    <t>Krug Inc.- 51618442</t>
  </si>
  <si>
    <t>Krug Inc.- 51619042</t>
  </si>
  <si>
    <t>Krug Inc.- 51619642</t>
  </si>
  <si>
    <t>Krug Inc.- 516110242</t>
  </si>
  <si>
    <t>Krug Inc.- 516110842</t>
  </si>
  <si>
    <t>Krug Inc.- 516111442</t>
  </si>
  <si>
    <t>Krug Inc.- 516112042</t>
  </si>
  <si>
    <t>Krug Inc.- 51616048</t>
  </si>
  <si>
    <t>Krug Inc.- 51616648</t>
  </si>
  <si>
    <t>Krug Inc.- 51617248</t>
  </si>
  <si>
    <t>Krug Inc.- 51617848</t>
  </si>
  <si>
    <t>Krug Inc.- 51618448</t>
  </si>
  <si>
    <t>Krug Inc.- 51619048</t>
  </si>
  <si>
    <t>Krug Inc.- 51619648</t>
  </si>
  <si>
    <t>Krug Inc.- 516110248</t>
  </si>
  <si>
    <t>Krug Inc.- 516110848</t>
  </si>
  <si>
    <t>Krug Inc.- 516111448</t>
  </si>
  <si>
    <t>Krug Inc.- 516112048</t>
  </si>
  <si>
    <t>Krug Inc.- 6801-66-30</t>
  </si>
  <si>
    <t>Krug Inc.- 6801-72-30</t>
  </si>
  <si>
    <t>Krug Inc.- 6801-78-30</t>
  </si>
  <si>
    <t>Krug Inc.- 6801-84-30</t>
  </si>
  <si>
    <t>Krug Inc.- 6801-90-30</t>
  </si>
  <si>
    <t>Krug Inc.- 6801-96-30</t>
  </si>
  <si>
    <t>Krug Inc.- 6801-102-30</t>
  </si>
  <si>
    <t>Krug Inc.- 6801-108-30</t>
  </si>
  <si>
    <t>Krug Inc.- 6801-114-30</t>
  </si>
  <si>
    <t>Krug Inc.- 6801-120-30</t>
  </si>
  <si>
    <t>Krug Inc.- 6801-60-36</t>
  </si>
  <si>
    <t>Krug Inc.- 6801-66-36</t>
  </si>
  <si>
    <t>Krug Inc.- 6801-72-36</t>
  </si>
  <si>
    <t>Krug Inc.- 6801-78-36</t>
  </si>
  <si>
    <t>Krug Inc.- 6801-84-36</t>
  </si>
  <si>
    <t>Krug Inc.- 6801-90-36</t>
  </si>
  <si>
    <t>Krug Inc.- 6801-96-36</t>
  </si>
  <si>
    <t>Krug Inc.- 6801-102-36</t>
  </si>
  <si>
    <t>Krug Inc.- 6801-108-36</t>
  </si>
  <si>
    <t>Krug Inc.- 6801-114-36</t>
  </si>
  <si>
    <t>Krug Inc.- 6801-120-36</t>
  </si>
  <si>
    <t>Krug Inc.- 6801-60-42</t>
  </si>
  <si>
    <t>Krug Inc.- 6801-66-42</t>
  </si>
  <si>
    <t>Krug Inc.- 6801-72-42</t>
  </si>
  <si>
    <t>Krug Inc.- 6801-78-42</t>
  </si>
  <si>
    <t>Krug Inc.- 6801-84-42</t>
  </si>
  <si>
    <t>Krug Inc.- 6801-90-42</t>
  </si>
  <si>
    <t>Krug Inc.- 6801-96-42</t>
  </si>
  <si>
    <t>Krug Inc.- 6801-102-42</t>
  </si>
  <si>
    <t>Krug Inc.- 6801-108-42</t>
  </si>
  <si>
    <t>Krug Inc.- 6801-114-42</t>
  </si>
  <si>
    <t>Krug Inc.- 6801-120-42</t>
  </si>
  <si>
    <t>Krug Inc.- 6801-60-48</t>
  </si>
  <si>
    <t>Krug Inc.- 6801-66-48</t>
  </si>
  <si>
    <t>Krug Inc.- 6801-72-48</t>
  </si>
  <si>
    <t>Krug Inc.- 6801-78-48</t>
  </si>
  <si>
    <t>Krug Inc.- 6801-84-48</t>
  </si>
  <si>
    <t>Krug Inc.- 6801-90-48</t>
  </si>
  <si>
    <t>Krug Inc.- 6801-96-48</t>
  </si>
  <si>
    <t>Krug Inc.- 6801-102-48</t>
  </si>
  <si>
    <t>Krug Inc.- 6801-108-48</t>
  </si>
  <si>
    <t>Krug Inc.- 6801-114-48</t>
  </si>
  <si>
    <t>Krug Inc.- 6801-120-48</t>
  </si>
  <si>
    <t>78x36</t>
  </si>
  <si>
    <t>84x36</t>
  </si>
  <si>
    <t>90x36</t>
  </si>
  <si>
    <t>96x36</t>
  </si>
  <si>
    <t>60x42</t>
  </si>
  <si>
    <t>66x42</t>
  </si>
  <si>
    <t>72x42</t>
  </si>
  <si>
    <t>78x42</t>
  </si>
  <si>
    <t>84x42</t>
  </si>
  <si>
    <t>90x42</t>
  </si>
  <si>
    <t>96x42</t>
  </si>
  <si>
    <t>60x48</t>
  </si>
  <si>
    <t>66x48</t>
  </si>
  <si>
    <t>72x48</t>
  </si>
  <si>
    <t>78x48</t>
  </si>
  <si>
    <t>84x48</t>
  </si>
  <si>
    <t>90x48</t>
  </si>
  <si>
    <t>96x48</t>
  </si>
  <si>
    <t>102x36</t>
  </si>
  <si>
    <t>108x36</t>
  </si>
  <si>
    <t>114x36</t>
  </si>
  <si>
    <t>120x36</t>
  </si>
  <si>
    <t>102x42</t>
  </si>
  <si>
    <t>108x42</t>
  </si>
  <si>
    <t>114x42</t>
  </si>
  <si>
    <t>120x42</t>
  </si>
  <si>
    <t>102x48</t>
  </si>
  <si>
    <t>110x48</t>
  </si>
  <si>
    <t>114x48</t>
  </si>
  <si>
    <t>120x48</t>
  </si>
  <si>
    <t>90x30</t>
  </si>
  <si>
    <t>96x30</t>
  </si>
  <si>
    <t>102x30</t>
  </si>
  <si>
    <t>108x30</t>
  </si>
  <si>
    <t>114x30</t>
  </si>
  <si>
    <t>120x30</t>
  </si>
  <si>
    <t>108x48</t>
  </si>
  <si>
    <t>Laminate Top/ 2 Bases (513921325) 27" Console + 51PDAD03-16</t>
  </si>
  <si>
    <t>Wood Veneer Top/ 2 Bases (SP681518529) + 62 CON BD Aluminum Cover+ Enclosure Box Cherry, Maple, Walnut</t>
  </si>
  <si>
    <t>Wood Veneer Top/ 2 Bases (SP681518529) + (2) 62 CON BD Aluminum Cover+  (2) Enclosure Box Cherry, Maple, Walnut</t>
  </si>
  <si>
    <t>Wood Veneer Top/ 3 Bases (SP681518529) + (2) 62 CON BD Aluminum Cover+  (2) Enclosure Box Cherry, Maple, Walnut</t>
  </si>
  <si>
    <t>Wood Veneer Top/ 2 Bases (681528629) + 62 CON BD Aluminum Cover+ Enclosure Box Cherry, Maple, Walnut</t>
  </si>
  <si>
    <t>Wood Veneer Top/ 2 Bases (681528629) + (2) 62 CON BD Aluminum Cover+  (2) Enclosure Box Cherry, Maple, Walnut</t>
  </si>
  <si>
    <t>Wood Veneer Top/ 3 Bases (681528629) + (2) 62 CON BD Aluminum Cover+  (2) Enclosure Box Cherry, Maple, Walnut</t>
  </si>
  <si>
    <t>Krug Inc.- 5164603630</t>
  </si>
  <si>
    <t>Krug Inc.- 5164663630</t>
  </si>
  <si>
    <t>Krug Inc.- 5164723630</t>
  </si>
  <si>
    <t>Krug Inc.- 5164783630</t>
  </si>
  <si>
    <t>Krug Inc.- 5164843630</t>
  </si>
  <si>
    <t>Krug Inc.- 5164903630</t>
  </si>
  <si>
    <t>Krug Inc.- 5164963630</t>
  </si>
  <si>
    <t>Krug Inc.- 51641023630</t>
  </si>
  <si>
    <t>Krug Inc.- 51641083630</t>
  </si>
  <si>
    <t>Krug Inc.- 51641143630</t>
  </si>
  <si>
    <t>Krug Inc.- 51641203630</t>
  </si>
  <si>
    <t>Krug Inc.- 5164604236</t>
  </si>
  <si>
    <t>Krug Inc.- 5164664236</t>
  </si>
  <si>
    <t>Krug Inc.- 5164724236</t>
  </si>
  <si>
    <t>Krug Inc.- 5164784236</t>
  </si>
  <si>
    <t>Krug Inc.- 5164844236</t>
  </si>
  <si>
    <t>Krug Inc.- 5164904236</t>
  </si>
  <si>
    <t>Krug Inc.- 5164964236</t>
  </si>
  <si>
    <t>Krug Inc.- 51641024236</t>
  </si>
  <si>
    <t>Krug Inc.- 51641084236</t>
  </si>
  <si>
    <t>Krug Inc.- 51641144236</t>
  </si>
  <si>
    <t>Krug Inc.- 51641204236</t>
  </si>
  <si>
    <t>Krug Inc.- 5164604842</t>
  </si>
  <si>
    <t>Krug Inc.- 5164664842</t>
  </si>
  <si>
    <t>Krug Inc.- 5164724842</t>
  </si>
  <si>
    <t>Krug Inc.- 5164784842</t>
  </si>
  <si>
    <t>Krug Inc.- 5164844842</t>
  </si>
  <si>
    <t>Krug Inc.- 5164904842</t>
  </si>
  <si>
    <t>Krug Inc.- 5164964842</t>
  </si>
  <si>
    <t>Krug Inc.- 51641024842</t>
  </si>
  <si>
    <t>Krug Inc.- 51641084842</t>
  </si>
  <si>
    <t>Krug Inc.- 51641144842</t>
  </si>
  <si>
    <t>Krug Inc.- 51641204842</t>
  </si>
  <si>
    <t>6MMTMDBTNL36L72WYNX</t>
  </si>
  <si>
    <t>6MMTMDBTNL36L78WYNX</t>
  </si>
  <si>
    <t>6MMTMDBTNL36L84WYNX</t>
  </si>
  <si>
    <t>6MMTMDBTNL36L90WYNX</t>
  </si>
  <si>
    <t>6MMTMDBTNL36L96WYNX</t>
  </si>
  <si>
    <t>6MMTMDBTNL36102WYNX</t>
  </si>
  <si>
    <t>6MMTMDBTNL36108WYNX</t>
  </si>
  <si>
    <t>6MMTMDBTNL36114WYNX</t>
  </si>
  <si>
    <t>6MMTMDBTNL36120WYNX</t>
  </si>
  <si>
    <t>6MMTMDBTNL42L60WYNX</t>
  </si>
  <si>
    <t>6MMTMDBTNL42L66WYNX</t>
  </si>
  <si>
    <t>6MMTMDBTNL42L72WYNX</t>
  </si>
  <si>
    <t>6MMTMDBTNL42L78WYNX</t>
  </si>
  <si>
    <t>6MMTMDBTNL42L84WYNX</t>
  </si>
  <si>
    <t>6MMTMDBTNL42L90WYNX</t>
  </si>
  <si>
    <t>6MMTMDBTNL42L96WYNX</t>
  </si>
  <si>
    <t>6MMTMDBTNL42102WYNX</t>
  </si>
  <si>
    <t>6MMTMDBTNL42108WYNX</t>
  </si>
  <si>
    <t>6MMTMDBTNL42114WYNX</t>
  </si>
  <si>
    <t>6MMTMDBTNL42120WYNX</t>
  </si>
  <si>
    <t>6MMTMDBTNL48L60WYNX</t>
  </si>
  <si>
    <t>6MMTMDBTNL48L66WYNX</t>
  </si>
  <si>
    <t>6MMTMDBTNL48L72WYNX</t>
  </si>
  <si>
    <t>6MMTMDBTNL48L78WYNX</t>
  </si>
  <si>
    <t>6MMTMDBTNL48L84WYNX</t>
  </si>
  <si>
    <t>6MMTMDBTNL48L90WYNX</t>
  </si>
  <si>
    <t>6MMTMDBTNL48L96WYNX</t>
  </si>
  <si>
    <t>6MMTMDBTNL48102WYNX</t>
  </si>
  <si>
    <t>6MMTMDBTNL48108WYNX</t>
  </si>
  <si>
    <t>6MMTMDBTNL48114WYNX</t>
  </si>
  <si>
    <t>6MMTMDBTNL48120WYNX</t>
  </si>
  <si>
    <t>6MMTMDBTNL36L60WYNX</t>
  </si>
  <si>
    <t>6MMTMDBTNL36L66WYNX</t>
  </si>
  <si>
    <t>60x36x30</t>
  </si>
  <si>
    <t>66x36x30</t>
  </si>
  <si>
    <t>72x36x30</t>
  </si>
  <si>
    <t>78x36x30</t>
  </si>
  <si>
    <t>84x36x30</t>
  </si>
  <si>
    <t>90x36x30</t>
  </si>
  <si>
    <t>96x36x30</t>
  </si>
  <si>
    <t>60x42x36</t>
  </si>
  <si>
    <t>66x42x36</t>
  </si>
  <si>
    <t>72x42x36</t>
  </si>
  <si>
    <t>78x42x36</t>
  </si>
  <si>
    <t>84x42x36</t>
  </si>
  <si>
    <t>90x42x36</t>
  </si>
  <si>
    <t>96x42x36</t>
  </si>
  <si>
    <t>102x36x30</t>
  </si>
  <si>
    <t>108x36x30</t>
  </si>
  <si>
    <t>114x36x30</t>
  </si>
  <si>
    <t>120x36x30</t>
  </si>
  <si>
    <t>102x42x36</t>
  </si>
  <si>
    <t>108x42x36</t>
  </si>
  <si>
    <t>114x42x36</t>
  </si>
  <si>
    <t>120x42x36</t>
  </si>
  <si>
    <t>60x48x42</t>
  </si>
  <si>
    <t>66x48x42</t>
  </si>
  <si>
    <t>72x48x42</t>
  </si>
  <si>
    <t>78x48x42</t>
  </si>
  <si>
    <t>84x48x42</t>
  </si>
  <si>
    <t>90x48x42</t>
  </si>
  <si>
    <t>96x48x42</t>
  </si>
  <si>
    <t>102x48x42</t>
  </si>
  <si>
    <t>108x48x42</t>
  </si>
  <si>
    <t>114x48x42</t>
  </si>
  <si>
    <t>120x48x42</t>
  </si>
  <si>
    <t xml:space="preserve">Rectangular Laminate Top W/ Panel Bases W/ Power &amp; Data </t>
  </si>
  <si>
    <t xml:space="preserve">Boat Shape Laminate Top W/ Panel Bases W/ Power &amp; Data </t>
  </si>
  <si>
    <t>Krug Inc.- 6804-60-36-30</t>
  </si>
  <si>
    <t>Krug Inc.- 6804-66-36-30</t>
  </si>
  <si>
    <t>Krug Inc.- 6804-72-36-30</t>
  </si>
  <si>
    <t>Krug Inc.- 6804-78-36-30</t>
  </si>
  <si>
    <t>Krug Inc.- 6804-84-36-30</t>
  </si>
  <si>
    <t>Krug Inc.- 6804-90-36-30</t>
  </si>
  <si>
    <t>Krug Inc.- 6804-96-36-30</t>
  </si>
  <si>
    <t>Krug Inc.- 6804-102-36-30</t>
  </si>
  <si>
    <t>Krug Inc.- 6804-108-36-30</t>
  </si>
  <si>
    <t>Krug Inc.- 6804-114-36-30</t>
  </si>
  <si>
    <t>Krug Inc.- 6804-120-36-30</t>
  </si>
  <si>
    <t>Krug Inc.- 6804-60-42-36</t>
  </si>
  <si>
    <t>Krug Inc.- 6804-66-42-36</t>
  </si>
  <si>
    <t>Krug Inc.- 6804-72-42-36</t>
  </si>
  <si>
    <t>Krug Inc.- 6804-78-42-36</t>
  </si>
  <si>
    <t>Krug Inc.- 6804-84-42-36</t>
  </si>
  <si>
    <t>Krug Inc.- 6804-90-42-36</t>
  </si>
  <si>
    <t>Krug Inc.- 6804-96-42-36</t>
  </si>
  <si>
    <t>Krug Inc.- 6804-102-42-36</t>
  </si>
  <si>
    <t>Krug Inc.- 6804-108-42-36</t>
  </si>
  <si>
    <t>Krug Inc.- 6804-114-42-36</t>
  </si>
  <si>
    <t>Krug Inc.- 6804-120-42-36</t>
  </si>
  <si>
    <t>Krug Inc.- 6804-60-48-42</t>
  </si>
  <si>
    <t>Krug Inc.- 6804-66-48-42</t>
  </si>
  <si>
    <t>Krug Inc.- 6804-72-48-42</t>
  </si>
  <si>
    <t>Krug Inc.- 6804-78-48-42</t>
  </si>
  <si>
    <t>Krug Inc.- 6804-84-48-42</t>
  </si>
  <si>
    <t>Krug Inc.- 6804-90-48-42</t>
  </si>
  <si>
    <t>Krug Inc.- 6804-96-48-42</t>
  </si>
  <si>
    <t>Krug Inc.- 6804-102-48-42</t>
  </si>
  <si>
    <t>Krug Inc.- 6804-108-48-42</t>
  </si>
  <si>
    <t>Krug Inc.- 6804-114-48-42</t>
  </si>
  <si>
    <t>Krug Inc.- 6804-120-48-42</t>
  </si>
  <si>
    <t>6MMTMDBTNW36L60WYNX</t>
  </si>
  <si>
    <t>6MMTMDBTNW36L66WYNX</t>
  </si>
  <si>
    <t>6MMTMDBTNW36L72WYNX</t>
  </si>
  <si>
    <t>6MMTMDBTNW36L78WYNX</t>
  </si>
  <si>
    <t>6MMTMDBTNW36L84WYNX</t>
  </si>
  <si>
    <t>6MMTMDBTNW36L90WYNX</t>
  </si>
  <si>
    <t>6MMTMDBTNW36L96WYNX</t>
  </si>
  <si>
    <t>6MMTMDBTNW36102WYNX</t>
  </si>
  <si>
    <t>6MMTMDBTNW36108WYNX</t>
  </si>
  <si>
    <t>6MMTMDBTNW36114WYNX</t>
  </si>
  <si>
    <t>6MMTMDBTNW36120WYNX</t>
  </si>
  <si>
    <t>6MMTMDBTNW42L60WYNX</t>
  </si>
  <si>
    <t>6MMTMDBTNW42L66WYNX</t>
  </si>
  <si>
    <t>6MMTMDBTNW42L72WYNX</t>
  </si>
  <si>
    <t>6MMTMDBTNW42L78WYNX</t>
  </si>
  <si>
    <t>6MMTMDBTNW42L84WYNX</t>
  </si>
  <si>
    <t>6MMTMDBTNW42L90WYNX</t>
  </si>
  <si>
    <t>6MMTMDBTNW42L96WYNX</t>
  </si>
  <si>
    <t>6MMTMDBTNW42102WYNX</t>
  </si>
  <si>
    <t>6MMTMDBTNW42108WYNX</t>
  </si>
  <si>
    <t>6MMTMDBTNW42114WYNX</t>
  </si>
  <si>
    <t>6MMTMDBTNW42120WYNX</t>
  </si>
  <si>
    <t>6MMTMDBTNW48L60WYNX</t>
  </si>
  <si>
    <t>6MMTMDBTNW48L66WYNX</t>
  </si>
  <si>
    <t>6MMTMDBTNW48L72WYNX</t>
  </si>
  <si>
    <t>6MMTMDBTNW48L78WYNX</t>
  </si>
  <si>
    <t>6MMTMDBTNW48L84WYNX</t>
  </si>
  <si>
    <t>6MMTMDBTNW48L90WYNX</t>
  </si>
  <si>
    <t>6MMTMDBTNW48L96WYNX</t>
  </si>
  <si>
    <t>6MMTMDBTNW48102WYNX</t>
  </si>
  <si>
    <t>6MMTMDBTNW48108WYNX</t>
  </si>
  <si>
    <t>6MMTMDBTNW48114WYNX</t>
  </si>
  <si>
    <t>6MMTMDBTNW48120WYNX</t>
  </si>
  <si>
    <t>Rectangular Wood Veneer Top W/ Panel Bases W/ Power &amp; Data</t>
  </si>
  <si>
    <t>Boat Shape  Wood Veneer Top W/ Panel Bases W/ Power &amp; Data</t>
  </si>
  <si>
    <t>Krug Inc.- 51026036</t>
  </si>
  <si>
    <t>Krug Inc.- 51026636</t>
  </si>
  <si>
    <t>Krug Inc.- 51027236</t>
  </si>
  <si>
    <t>Krug Inc.- 51027836</t>
  </si>
  <si>
    <t>Krug Inc.- 51028436</t>
  </si>
  <si>
    <t>Krug Inc.- 51029036</t>
  </si>
  <si>
    <t>Krug Inc.- 51029636</t>
  </si>
  <si>
    <t>Krug Inc.- 510210236</t>
  </si>
  <si>
    <t>Krug Inc.- 510210836</t>
  </si>
  <si>
    <t>Krug Inc.- 510211436</t>
  </si>
  <si>
    <t>Krug Inc.- 510212036</t>
  </si>
  <si>
    <t>Krug Inc.- 51026042</t>
  </si>
  <si>
    <t>Krug Inc.- 51026642</t>
  </si>
  <si>
    <t>Krug Inc.- 51027242</t>
  </si>
  <si>
    <t>Krug Inc.- 51027842</t>
  </si>
  <si>
    <t>Krug Inc.- 51028442</t>
  </si>
  <si>
    <t>Krug Inc.- 51029042</t>
  </si>
  <si>
    <t>Krug Inc.- 51029642</t>
  </si>
  <si>
    <t>Krug Inc.- 510210242</t>
  </si>
  <si>
    <t>Krug Inc.- 510210842</t>
  </si>
  <si>
    <t>Krug Inc.- 510211442</t>
  </si>
  <si>
    <t>Krug Inc.- 510212042</t>
  </si>
  <si>
    <t>Krug Inc.- 51026048</t>
  </si>
  <si>
    <t>Krug Inc.- 51026648</t>
  </si>
  <si>
    <t>Krug Inc.- 51027248</t>
  </si>
  <si>
    <t>Krug Inc.- 51027848</t>
  </si>
  <si>
    <t>Krug Inc.- 51028448</t>
  </si>
  <si>
    <t>Krug Inc.- 51029048</t>
  </si>
  <si>
    <t>Krug Inc.- 51029648</t>
  </si>
  <si>
    <t>Krug Inc.- 510210248</t>
  </si>
  <si>
    <t>Krug Inc.- 510210848</t>
  </si>
  <si>
    <t>Krug Inc.- 510211448</t>
  </si>
  <si>
    <t>Krug Inc.- 510212048</t>
  </si>
  <si>
    <t>Krug Inc.- 6802-60-30</t>
  </si>
  <si>
    <t>Krug Inc.- 6802-66-30</t>
  </si>
  <si>
    <t>Krug Inc.- 6802-72-30</t>
  </si>
  <si>
    <t>Krug Inc.- 6802-78-30</t>
  </si>
  <si>
    <t>Krug Inc.- 6802-84-30</t>
  </si>
  <si>
    <t>Krug Inc.- 6802-90-30</t>
  </si>
  <si>
    <t>Krug Inc.- 6802-96-30</t>
  </si>
  <si>
    <t>Krug Inc.- 6802-102-30</t>
  </si>
  <si>
    <t>Krug Inc.- 6802-108-30</t>
  </si>
  <si>
    <t>Krug Inc.- 6802-114-30</t>
  </si>
  <si>
    <t>Krug Inc.- 6802-120-30</t>
  </si>
  <si>
    <t>Krug Inc.- 6802-60-36</t>
  </si>
  <si>
    <t>Krug Inc.- 6802-66-36</t>
  </si>
  <si>
    <t>Krug Inc.- 6802-72-36</t>
  </si>
  <si>
    <t>Krug Inc.- 6802-78-36</t>
  </si>
  <si>
    <t>Krug Inc.- 6802-84-36</t>
  </si>
  <si>
    <t>Krug Inc.- 6802-90-36</t>
  </si>
  <si>
    <t>Krug Inc.- 6802-96-36</t>
  </si>
  <si>
    <t>Krug Inc.- 6802-102-36</t>
  </si>
  <si>
    <t>Krug Inc.- 6802-108-36</t>
  </si>
  <si>
    <t>Krug Inc.- 6802-114-36</t>
  </si>
  <si>
    <t>Krug Inc.- 6802-120-36</t>
  </si>
  <si>
    <t>Krug Inc.- 6802-60-42</t>
  </si>
  <si>
    <t>Krug Inc.- 6802-66-42</t>
  </si>
  <si>
    <t>Krug Inc.- 6802-72-42</t>
  </si>
  <si>
    <t>Krug Inc.- 6802-78-42</t>
  </si>
  <si>
    <t>Krug Inc.- 6802-84-42</t>
  </si>
  <si>
    <t>Krug Inc.- 6802-90-42</t>
  </si>
  <si>
    <t>Krug Inc.- 6802-96-42</t>
  </si>
  <si>
    <t>Krug Inc.- 6802-102-42</t>
  </si>
  <si>
    <t>Krug Inc.- 6802-108-42</t>
  </si>
  <si>
    <t>Krug Inc.- 6802-114-42</t>
  </si>
  <si>
    <t>Krug Inc.- 6802-120-42</t>
  </si>
  <si>
    <t>Krug Inc.- 6802-60-48</t>
  </si>
  <si>
    <t>Krug Inc.- 6802-66-48</t>
  </si>
  <si>
    <t>Krug Inc.- 6802-72-48</t>
  </si>
  <si>
    <t>Krug Inc.- 6802-78-48</t>
  </si>
  <si>
    <t>Krug Inc.- 6802-84-48</t>
  </si>
  <si>
    <t>Krug Inc.- 6802-90-48</t>
  </si>
  <si>
    <t>Krug Inc.- 6802-96-48</t>
  </si>
  <si>
    <t>Krug Inc.- 6802-102-48</t>
  </si>
  <si>
    <t>Krug Inc.- 6802-108-48</t>
  </si>
  <si>
    <t>Krug Inc.- 6802-114-48</t>
  </si>
  <si>
    <t>Krug Inc.- 6802-120-48</t>
  </si>
  <si>
    <t>6MMTMDRTNL36L60WYNX</t>
  </si>
  <si>
    <t>6MMTMDRTNL36L66WYNX</t>
  </si>
  <si>
    <t>6MMTMDRTNL36L72WYNX</t>
  </si>
  <si>
    <t>6MMTMDRTNL36L78WYNX</t>
  </si>
  <si>
    <t>6MMTMDRTNL36L84WYNX</t>
  </si>
  <si>
    <t>6MMTMDRTNL36L90WYNX</t>
  </si>
  <si>
    <t>6MMTMDRTNL36L96WYNX</t>
  </si>
  <si>
    <t>6MMTMDRTNL36102WYNX</t>
  </si>
  <si>
    <t>6MMTMDRTNL36108WYNX</t>
  </si>
  <si>
    <t>6MMTMDRTNL36114WYNX</t>
  </si>
  <si>
    <t>6MMTMDRTNL36120WYNX</t>
  </si>
  <si>
    <t>6MMTMDRTNL42L60WYNX</t>
  </si>
  <si>
    <t>6MMTMDRTNL42L66WYNX</t>
  </si>
  <si>
    <t>6MMTMDRTNL42L72WYNX</t>
  </si>
  <si>
    <t>6MMTMDRTNL42L78WYNX</t>
  </si>
  <si>
    <t>6MMTMDRTNL42L84WYNX</t>
  </si>
  <si>
    <t>6MMTMDRTNL42L90WYNX</t>
  </si>
  <si>
    <t>6MMTMDRTNL42L96WYNX</t>
  </si>
  <si>
    <t>6MMTMDRTNL42102WYNX</t>
  </si>
  <si>
    <t>6MMTMDRTNL42108WYNX</t>
  </si>
  <si>
    <t>6MMTMDRTNL42114WYNX</t>
  </si>
  <si>
    <t>6MMTMDRTNL42120WYNX</t>
  </si>
  <si>
    <t>6MMTMDRTNL48L60WYNX</t>
  </si>
  <si>
    <t>6MMTMDRTNL48L66WYNX</t>
  </si>
  <si>
    <t>6MMTMDRTNL48L72WYNX</t>
  </si>
  <si>
    <t>6MMTMDRTNL48L78WYNX</t>
  </si>
  <si>
    <t>6MMTMDRTNL48L84WYNX</t>
  </si>
  <si>
    <t>6MMTMDRTNL48L90WYNX</t>
  </si>
  <si>
    <t>6MMTMDRTNL48L96WYNX</t>
  </si>
  <si>
    <t>6MMTMDRTNL48102WYNX</t>
  </si>
  <si>
    <t>6MMTMDRTNL48108WYNX</t>
  </si>
  <si>
    <t>6MMTMDRTNL48114WYNX</t>
  </si>
  <si>
    <t>6MMTMDRTNL48120WYNX</t>
  </si>
  <si>
    <t>6MMTMDRTNW30L60WYNX</t>
  </si>
  <si>
    <t>6MMTMDRTNW30L66WYNX</t>
  </si>
  <si>
    <t>6MMTMDRTNW30L72WYNX</t>
  </si>
  <si>
    <t>6MMTMDRTNW30L78WYNX</t>
  </si>
  <si>
    <t>6MMTMDRTNW30L84WYNX</t>
  </si>
  <si>
    <t>6MMTMDRTNW30L90WYNX</t>
  </si>
  <si>
    <t>6MMTMDRTNW30L96WYNX</t>
  </si>
  <si>
    <t>6MMTMDRTNW30102WYNX</t>
  </si>
  <si>
    <t>6MMTMDRTNW30108WYNX</t>
  </si>
  <si>
    <t>6MMTMDRTNW30114WYNX</t>
  </si>
  <si>
    <t>6MMTMDRTNW30120WYNX</t>
  </si>
  <si>
    <t>6MMTMDRTNW36L60WYNX</t>
  </si>
  <si>
    <t>6MMTMDRTNW36L66WYNX</t>
  </si>
  <si>
    <t>6MMTMDRTNW36L72WYNX</t>
  </si>
  <si>
    <t>6MMTMDRTNW36L78WYNX</t>
  </si>
  <si>
    <t>6MMTMDRTNW36L84WYNX</t>
  </si>
  <si>
    <t>6MMTMDRTNW36L90WYNX</t>
  </si>
  <si>
    <t>6MMTMDRTNW36L96WYNX</t>
  </si>
  <si>
    <t>6MMTMDRTNW36102WYNX</t>
  </si>
  <si>
    <t>6MMTMDRTNW36108WYNX</t>
  </si>
  <si>
    <t>6MMTMDRTNW36114WYNX</t>
  </si>
  <si>
    <t>6MMTMDRTNW36120WYNX</t>
  </si>
  <si>
    <t>6MMTMDRTNW42L60WYNX</t>
  </si>
  <si>
    <t>6MMTMDRTNW42L66WYNX</t>
  </si>
  <si>
    <t>6MMTMDRTNW42L72WYNX</t>
  </si>
  <si>
    <t>6MMTMDRTNW42L78WYNX</t>
  </si>
  <si>
    <t>6MMTMDRTNW42L84WYNX</t>
  </si>
  <si>
    <t>6MMTMDRTNW42L90WYNX</t>
  </si>
  <si>
    <t>6MMTMDRTNW42L96WYNX</t>
  </si>
  <si>
    <t>6MMTMDRTNW42102WYNX</t>
  </si>
  <si>
    <t>6MMTMDRTNW42108WYNX</t>
  </si>
  <si>
    <t>6MMTMDRTNW42114WYNX</t>
  </si>
  <si>
    <t>6MMTMDRTNW42120WYNX</t>
  </si>
  <si>
    <t>6MMTMDRTNW48L60WYNX</t>
  </si>
  <si>
    <t>6MMTMDRTNW48L66WYNX</t>
  </si>
  <si>
    <t>6MMTMDRTNW48L72WYNX</t>
  </si>
  <si>
    <t>6MMTMDRTNW48L78WYNX</t>
  </si>
  <si>
    <t>6MMTMDRTNW48L84WYNX</t>
  </si>
  <si>
    <t>6MMTMDRTNW48L90WYNX</t>
  </si>
  <si>
    <t>6MMTMDRTNW48L96WYNX</t>
  </si>
  <si>
    <t>6MMTMDRTNW48102WYNX</t>
  </si>
  <si>
    <t>6MMTMDRTNW48108WYNX</t>
  </si>
  <si>
    <t>6MMTMDRTNW48114WYNX</t>
  </si>
  <si>
    <t>6MMTMDRTNW48120WYNX</t>
  </si>
  <si>
    <t>Racetrack Wood Veneer Top W/ Panel Bases W/ Power &amp; Data</t>
  </si>
  <si>
    <t>Krug Inc.- SA76C6020L3017R3017</t>
  </si>
  <si>
    <t>Krug Inc.- SA76C6020L3011R3011</t>
  </si>
  <si>
    <t>Krug Inc.- SA76C6024L3017R3017</t>
  </si>
  <si>
    <t>Krug Inc.- SA76C6024L3017R3011</t>
  </si>
  <si>
    <t>Krug Inc.- SA76C6024L3011R3011</t>
  </si>
  <si>
    <t>Laminate Top/ 2 Bases (513921325) 2 14" console + 51PDCD03-16+51PDAD01-06</t>
  </si>
  <si>
    <t>Laminate Top/ 2 Bases (513921325)2 27" console + 51PDCD03-16+51PDAD01-06</t>
  </si>
  <si>
    <t>Laminate Top/ 2 Bases (513921325) 2 27" console + 51PDCD03-16+51PDAD01-06</t>
  </si>
  <si>
    <t>Krug Inc.- 516112642</t>
  </si>
  <si>
    <t>Krug Inc.- 516113242</t>
  </si>
  <si>
    <t>Krug Inc.- 516113842</t>
  </si>
  <si>
    <t>Krug Inc.- 516114442</t>
  </si>
  <si>
    <t>Krug Inc.- 516115042</t>
  </si>
  <si>
    <t>Krug Inc.- 516115642</t>
  </si>
  <si>
    <t>Krug Inc.- 516116242</t>
  </si>
  <si>
    <t>Krug Inc.- 516116842</t>
  </si>
  <si>
    <t>Krug Inc.- 516117442</t>
  </si>
  <si>
    <t>Krug Inc.- 516118042</t>
  </si>
  <si>
    <t>Krug Inc.- 516118642</t>
  </si>
  <si>
    <t>Krug Inc.- 516119242</t>
  </si>
  <si>
    <t>Krug Inc.- 516112648</t>
  </si>
  <si>
    <t>Krug Inc.- 516113248</t>
  </si>
  <si>
    <t>Krug Inc.- 516113848</t>
  </si>
  <si>
    <t>Krug Inc.- 516114448</t>
  </si>
  <si>
    <t>Krug Inc.- 516115048</t>
  </si>
  <si>
    <t>Krug Inc.- 516115648</t>
  </si>
  <si>
    <t>Krug Inc.- 516116248</t>
  </si>
  <si>
    <t>Krug Inc.- 516116848</t>
  </si>
  <si>
    <t>Krug Inc.- 516117448</t>
  </si>
  <si>
    <t>Krug Inc.- 516118048</t>
  </si>
  <si>
    <t>Krug Inc.- 516118648</t>
  </si>
  <si>
    <t>Krug Inc.- 516119248</t>
  </si>
  <si>
    <t>Krug Inc.- 516112054</t>
  </si>
  <si>
    <t>Krug Inc.- 516112654</t>
  </si>
  <si>
    <t>Krug Inc.- 516113254</t>
  </si>
  <si>
    <t>Krug Inc.- 516113854</t>
  </si>
  <si>
    <t>Krug Inc.- 516114454</t>
  </si>
  <si>
    <t>Krug Inc.- 516115054</t>
  </si>
  <si>
    <t>Krug Inc.- 516115654</t>
  </si>
  <si>
    <t>Krug Inc.- 516116254</t>
  </si>
  <si>
    <t>Krug Inc.- 516116854</t>
  </si>
  <si>
    <t>Krug Inc.- 516117454</t>
  </si>
  <si>
    <t>Krug Inc.- 516118054</t>
  </si>
  <si>
    <t>Krug Inc.- 516118654</t>
  </si>
  <si>
    <t>Krug Inc.- 516119254</t>
  </si>
  <si>
    <t>Krug Inc.- 516112060</t>
  </si>
  <si>
    <t>Krug Inc.- 516112660</t>
  </si>
  <si>
    <t>Krug Inc.- 516113260</t>
  </si>
  <si>
    <t>Krug Inc.- 516113860</t>
  </si>
  <si>
    <t>Krug Inc.- 516114460</t>
  </si>
  <si>
    <t>Krug Inc.- 516115060</t>
  </si>
  <si>
    <t>Krug Inc.- 516115660</t>
  </si>
  <si>
    <t>Krug Inc.- 516116260</t>
  </si>
  <si>
    <t>Krug Inc.- 516116860</t>
  </si>
  <si>
    <t>Krug Inc.- 516117460</t>
  </si>
  <si>
    <t>Krug Inc.- 516118060</t>
  </si>
  <si>
    <t>Krug Inc.- 516118660</t>
  </si>
  <si>
    <t>Krug Inc.- 516119260</t>
  </si>
  <si>
    <t>6MMTLGRENL42120WYNX</t>
  </si>
  <si>
    <t>6MMTLGRENL42126WYNX</t>
  </si>
  <si>
    <t>6MMTLGRENL42132WYNX</t>
  </si>
  <si>
    <t>6MMTLGRENL42138WYNX</t>
  </si>
  <si>
    <t>6MMTLGRENL42144WYNX</t>
  </si>
  <si>
    <t>6MMTLGRENL42150WYNX</t>
  </si>
  <si>
    <t>6MMTLGRENL42156WYNX</t>
  </si>
  <si>
    <t>6MMTLGRENL42162WYNX</t>
  </si>
  <si>
    <t>6MMTLGRENL42168WYNX</t>
  </si>
  <si>
    <t>6MMTLGRENL42174WYNX</t>
  </si>
  <si>
    <t>6MMTLGRENL42180WYNX</t>
  </si>
  <si>
    <t>6MMTLGRENL42186WYNX</t>
  </si>
  <si>
    <t>6MMTLGRENL42192WYNX</t>
  </si>
  <si>
    <t>6MMTLGRENL48120WYNX</t>
  </si>
  <si>
    <t>6MMTLGRENL48126WYNX</t>
  </si>
  <si>
    <t>6MMTLGRENL48132WYNX</t>
  </si>
  <si>
    <t>6MMTLGRENL48138WYNX</t>
  </si>
  <si>
    <t>6MMTLGRENL48144WYNX</t>
  </si>
  <si>
    <t>6MMTLGRENL48150WYNX</t>
  </si>
  <si>
    <t>6MMTLGRENL48156WYNX</t>
  </si>
  <si>
    <t>6MMTLGRENL48162WYNX</t>
  </si>
  <si>
    <t>6MMTLGRENL48168WYNX</t>
  </si>
  <si>
    <t>6MMTLGRENL48174WYNX</t>
  </si>
  <si>
    <t>6MMTLGRENL48180WYNX</t>
  </si>
  <si>
    <t>6MMTLGRENL48186WYNX</t>
  </si>
  <si>
    <t>6MMTLGRENL48192WYNX</t>
  </si>
  <si>
    <t>6MMTLGRENL54120WYNX</t>
  </si>
  <si>
    <t>6MMTLGRENL54126WYNX</t>
  </si>
  <si>
    <t>6MMTLGRENL54132WYNX</t>
  </si>
  <si>
    <t>6MMTLGRENL54138WYNX</t>
  </si>
  <si>
    <t>6MMTLGRENL54144WYNX</t>
  </si>
  <si>
    <t>6MMTLGRENL54150WYNX</t>
  </si>
  <si>
    <t>6MMTLGRENL54156WYNX</t>
  </si>
  <si>
    <t>6MMTLGRENL54162WYNX</t>
  </si>
  <si>
    <t>6MMTLGRENL54168WYNX</t>
  </si>
  <si>
    <t>6MMTLGRENL54174WYNX</t>
  </si>
  <si>
    <t>6MMTLGRENL54180WYNX</t>
  </si>
  <si>
    <t>6MMTLGRENL54186WYNX</t>
  </si>
  <si>
    <t>6MMTLGRENL54192WYNX</t>
  </si>
  <si>
    <t>6MMTLGRENL60120WYNX</t>
  </si>
  <si>
    <t>6MMTLGRENL60126WYNX</t>
  </si>
  <si>
    <t>6MMTLGRENL60132WYNX</t>
  </si>
  <si>
    <t>6MMTLGRENL60138WYNX</t>
  </si>
  <si>
    <t>6MMTLGRENL60144WYNX</t>
  </si>
  <si>
    <t>6MMTLGRENL60150WYNX</t>
  </si>
  <si>
    <t>6MMTLGRENL60156WYNX</t>
  </si>
  <si>
    <t>6MMTLGRENL60162WYNX</t>
  </si>
  <si>
    <t>6MMTLGRENL60168WYNX</t>
  </si>
  <si>
    <t>6MMTLGRENL60174WYNX</t>
  </si>
  <si>
    <t>6MMTLGRENL60180WYNX</t>
  </si>
  <si>
    <t>6MMTLGRENL60186WYNX</t>
  </si>
  <si>
    <t>6MMTLGRENL60192WYNX</t>
  </si>
  <si>
    <t>6MMTLGRENW42120WYNX</t>
  </si>
  <si>
    <t>6MMTLGRENW42126WYNX</t>
  </si>
  <si>
    <t>6MMTLGRENW42132WYNX</t>
  </si>
  <si>
    <t>6MMTLGRENW42138WYNX</t>
  </si>
  <si>
    <t>6MMTLGRENW42144WYNX</t>
  </si>
  <si>
    <t>6MMTLGRENW42150WYNX</t>
  </si>
  <si>
    <t>6MMTLGRENW42156WYNX</t>
  </si>
  <si>
    <t>6MMTLGRENW42162WYNX</t>
  </si>
  <si>
    <t>6MMTLGRENW42168WYNX</t>
  </si>
  <si>
    <t>6MMTLGRENW42174WYNX</t>
  </si>
  <si>
    <t>6MMTLGRENW42180WYNX</t>
  </si>
  <si>
    <t>6MMTLGRENW42186WYNX</t>
  </si>
  <si>
    <t>6MMTLGRENW42192WYNX</t>
  </si>
  <si>
    <t>6MMTLGRENW48120WYNX</t>
  </si>
  <si>
    <t>6MMTLGRENW48126WYNX</t>
  </si>
  <si>
    <t>6MMTLGRENW48132WYNX</t>
  </si>
  <si>
    <t>6MMTLGRENW48138WYNX</t>
  </si>
  <si>
    <t>6MMTLGRENW48144WYNX</t>
  </si>
  <si>
    <t>6MMTLGRENW48150WYNX</t>
  </si>
  <si>
    <t>6MMTLGRENW48156WYNX</t>
  </si>
  <si>
    <t>6MMTLGRENW48162WYNX</t>
  </si>
  <si>
    <t>6MMTLGRENW48168WYNX</t>
  </si>
  <si>
    <t>6MMTLGRENW48174WYNX</t>
  </si>
  <si>
    <t>6MMTLGRENW48180WYNX</t>
  </si>
  <si>
    <t>6MMTLGRENW48186WYNX</t>
  </si>
  <si>
    <t>6MMTLGRENW48192WYNX</t>
  </si>
  <si>
    <t>6MMTLGRENW54120WYNX</t>
  </si>
  <si>
    <t>6MMTLGRENW54126WYNX</t>
  </si>
  <si>
    <t>6MMTLGRENW54132WYNX</t>
  </si>
  <si>
    <t>6MMTLGRENW54138WYNX</t>
  </si>
  <si>
    <t>6MMTLGRENW54144WYNX</t>
  </si>
  <si>
    <t>6MMTLGRENW54150WYNX</t>
  </si>
  <si>
    <t>6MMTLGRENW54156WYNX</t>
  </si>
  <si>
    <t>6MMTLGRENW54162WYNX</t>
  </si>
  <si>
    <t>6MMTLGRENW54168WYNX</t>
  </si>
  <si>
    <t>6MMTLGRENW54174WYNX</t>
  </si>
  <si>
    <t>6MMTLGRENW54180WYNX</t>
  </si>
  <si>
    <t>6MMTLGRENW54186WYNX</t>
  </si>
  <si>
    <t>6MMTLGRENW54192WYNX</t>
  </si>
  <si>
    <t>6MMTLGRENW60120WYNX</t>
  </si>
  <si>
    <t>6MMTLGRENW60126WYNX</t>
  </si>
  <si>
    <t>6MMTLGRENW60132WYNX</t>
  </si>
  <si>
    <t>6MMTLGRENW60138WYNX</t>
  </si>
  <si>
    <t>6MMTLGRENW60144WYNX</t>
  </si>
  <si>
    <t>6MMTLGRENW60150WYNX</t>
  </si>
  <si>
    <t>6MMTLGRENW60156WYNX</t>
  </si>
  <si>
    <t>6MMTLGRENW60162WYNX</t>
  </si>
  <si>
    <t>6MMTLGRENW60168WYNX</t>
  </si>
  <si>
    <t>6MMTLGRENW60174WYNX</t>
  </si>
  <si>
    <t>6MMTLGRENW60180WYNX</t>
  </si>
  <si>
    <t>6MMTLGRENW60186WYNX</t>
  </si>
  <si>
    <t>6MMTLGRENW60192WYNX</t>
  </si>
  <si>
    <t>126x42</t>
  </si>
  <si>
    <t>132x42</t>
  </si>
  <si>
    <t>138x42</t>
  </si>
  <si>
    <t>144x42</t>
  </si>
  <si>
    <t>150x42</t>
  </si>
  <si>
    <t>156x42</t>
  </si>
  <si>
    <t>162x42</t>
  </si>
  <si>
    <t>168x42</t>
  </si>
  <si>
    <t>174x42</t>
  </si>
  <si>
    <t>180x42</t>
  </si>
  <si>
    <t>186x42</t>
  </si>
  <si>
    <t>192x42</t>
  </si>
  <si>
    <t>126x48</t>
  </si>
  <si>
    <t>132x48</t>
  </si>
  <si>
    <t>138x48</t>
  </si>
  <si>
    <t>144x48</t>
  </si>
  <si>
    <t>150x48</t>
  </si>
  <si>
    <t>156x48</t>
  </si>
  <si>
    <t>162x48</t>
  </si>
  <si>
    <t>168x48</t>
  </si>
  <si>
    <t>174x48</t>
  </si>
  <si>
    <t>180x48</t>
  </si>
  <si>
    <t>186x48</t>
  </si>
  <si>
    <t>192x48</t>
  </si>
  <si>
    <t>120x54</t>
  </si>
  <si>
    <t>126x54</t>
  </si>
  <si>
    <t>132x54</t>
  </si>
  <si>
    <t>138x54</t>
  </si>
  <si>
    <t>144x54</t>
  </si>
  <si>
    <t>150x54</t>
  </si>
  <si>
    <t>156x54</t>
  </si>
  <si>
    <t>162x54</t>
  </si>
  <si>
    <t>168x54</t>
  </si>
  <si>
    <t>174x54</t>
  </si>
  <si>
    <t>180x54</t>
  </si>
  <si>
    <t>186x54</t>
  </si>
  <si>
    <t>192x54</t>
  </si>
  <si>
    <t>120x60</t>
  </si>
  <si>
    <t>126x60</t>
  </si>
  <si>
    <t>132x60</t>
  </si>
  <si>
    <t>138x60</t>
  </si>
  <si>
    <t>144x60</t>
  </si>
  <si>
    <t>150x60</t>
  </si>
  <si>
    <t>156x60</t>
  </si>
  <si>
    <t>162x60</t>
  </si>
  <si>
    <t>168x60</t>
  </si>
  <si>
    <t>174x60</t>
  </si>
  <si>
    <t>180x60</t>
  </si>
  <si>
    <t>186x60</t>
  </si>
  <si>
    <t>192x60</t>
  </si>
  <si>
    <t xml:space="preserve">Rectangular Wood Top W/ Panel Bases W/ Power &amp; Data </t>
  </si>
  <si>
    <t xml:space="preserve">Laminate Top/ 3 Bases (513921325) + (2) 27" Consoles + 51PDAD03-16 + 51PDC03-16 Standard Laminate </t>
  </si>
  <si>
    <t xml:space="preserve">Laminate Top/ 2 Bases (513921325) + (2) 27" Consoles + 51PDAD03-16 + 51PDC03-16 Standard Laminate </t>
  </si>
  <si>
    <t xml:space="preserve">Laminate Top/ 2 Bases (513925325) + (2) 27" Consoles + 51PDAD03-16 + 51PDC03-16 Standard Laminate </t>
  </si>
  <si>
    <t xml:space="preserve">Laminate Top/ 3 Bases (513925325) + (2) 27" Consoles + 51PDAD03-16 + 51PDC03-16 Standard Laminate </t>
  </si>
  <si>
    <t>Wood Veneer Top/ 2 Bases (513921325) + (2) 27" Consoles + 51PDAD03-16 + 51PDC03-16 Quarter Cut Walnut ( Quarter Cut Cherry, Maple Or Rift White Oak Can Be Ordered At Laminate Pricing)</t>
  </si>
  <si>
    <t>Wood Veneer Top/ 3 Bases (513921325) + (2) 27" Consoles + 51PDAD03-16 + 51PDC03-16 Quarter Cut Walnut ( Quarter Cut Cherry, Maple Or Rift White Oak Can Be Ordered At Laminate Pricing)</t>
  </si>
  <si>
    <t>Wood Veneer Top/ 2 Bases (513925325) + (2) 27" Consoles + 51PDAD03-16 + 51PDC03-16 Quarter Cut Walnut ( Quarter Cut Cherry, Maple Or Rift White Oak Can Be Ordered At Laminate Pricing)</t>
  </si>
  <si>
    <t>Wood Veneer Top/ 3 Bases (513925325) + (2) 27" Consoles + 51PDAD03-16 + 51PDC03-16 Quarter Cut Walnut ( Quarter Cut Cherry, Maple Or Rift White Oak Can Be Ordered At Laminate Pricing)</t>
  </si>
  <si>
    <t>Krug Inc.- 51641264236</t>
  </si>
  <si>
    <t>Krug Inc.- 51641324236</t>
  </si>
  <si>
    <t>Krug Inc.- 51641384236</t>
  </si>
  <si>
    <t>Krug Inc.- 51641444236</t>
  </si>
  <si>
    <t>Krug Inc.- 51641504236</t>
  </si>
  <si>
    <t>Krug Inc.- 51641564236</t>
  </si>
  <si>
    <t>Krug Inc.- 51641624236</t>
  </si>
  <si>
    <t>Krug Inc.- 51641684236</t>
  </si>
  <si>
    <t>Krug Inc.- 51641744236</t>
  </si>
  <si>
    <t>Krug Inc.- 51641804236</t>
  </si>
  <si>
    <t>Krug Inc.- 51641864236</t>
  </si>
  <si>
    <t>Krug Inc.- 51641924236</t>
  </si>
  <si>
    <t>Krug Inc.- 51641264842</t>
  </si>
  <si>
    <t>Krug Inc.- 51641324842</t>
  </si>
  <si>
    <t>Krug Inc.- 51641384842</t>
  </si>
  <si>
    <t>Krug Inc.- 51641444842</t>
  </si>
  <si>
    <t>Krug Inc.- 51641504842</t>
  </si>
  <si>
    <t>Krug Inc.- 51641564842</t>
  </si>
  <si>
    <t>Krug Inc.- 51641624842</t>
  </si>
  <si>
    <t>Krug Inc.- 51641684842</t>
  </si>
  <si>
    <t>Krug Inc.- 51641744842</t>
  </si>
  <si>
    <t>Krug Inc.- 51641804842</t>
  </si>
  <si>
    <t>Krug Inc.- 51641864842</t>
  </si>
  <si>
    <t>Krug Inc.- 51641924842</t>
  </si>
  <si>
    <t>Krug Inc.- 51641205442</t>
  </si>
  <si>
    <t>Krug Inc.- 51641265442</t>
  </si>
  <si>
    <t>Krug Inc.- 51641325442</t>
  </si>
  <si>
    <t>Krug Inc.- 51641385442</t>
  </si>
  <si>
    <t>Krug Inc.- 51641445442</t>
  </si>
  <si>
    <t>Krug Inc.- 51641505442</t>
  </si>
  <si>
    <t>Krug Inc.- 51641565442</t>
  </si>
  <si>
    <t>Krug Inc.- 51641625442</t>
  </si>
  <si>
    <t>Krug Inc.- 51641685442</t>
  </si>
  <si>
    <t>Krug Inc.- 51641745442</t>
  </si>
  <si>
    <t>Krug Inc.- 51641805442</t>
  </si>
  <si>
    <t>Krug Inc.- 51641865442</t>
  </si>
  <si>
    <t>Krug Inc.- 51641925442</t>
  </si>
  <si>
    <t>Krug Inc.- 51641206048</t>
  </si>
  <si>
    <t>Krug Inc.- 51641266048</t>
  </si>
  <si>
    <t>Krug Inc.- 51641326048</t>
  </si>
  <si>
    <t>Krug Inc.- 51641386048</t>
  </si>
  <si>
    <t>Krug Inc.- 51641446048</t>
  </si>
  <si>
    <t>Krug Inc.- 51641506048</t>
  </si>
  <si>
    <t>Krug Inc.- 51641566048</t>
  </si>
  <si>
    <t>Krug Inc.- 51641626048</t>
  </si>
  <si>
    <t>Krug Inc.- 51641686048</t>
  </si>
  <si>
    <t>Krug Inc.- 51641746048</t>
  </si>
  <si>
    <t>Krug Inc.- 51641806048</t>
  </si>
  <si>
    <t>Krug Inc.- 51641866048</t>
  </si>
  <si>
    <t>Krug Inc.- 51641926048</t>
  </si>
  <si>
    <t xml:space="preserve">Boat Shape Wood Top W/ Panel Bases W/ Power &amp; Data </t>
  </si>
  <si>
    <t>6MMTLGBTNL42120WYNX</t>
  </si>
  <si>
    <t>6MMTLGBTNL42126WYNX</t>
  </si>
  <si>
    <t>6MMTLGBTNL42132WYNX</t>
  </si>
  <si>
    <t>6MMTLGBTNL42138WYNX</t>
  </si>
  <si>
    <t>6MMTLGBTNL42144WYNX</t>
  </si>
  <si>
    <t>6MMTLGBTNL42150WYNX</t>
  </si>
  <si>
    <t>6MMTLGBTNL42156WYNX</t>
  </si>
  <si>
    <t>6MMTLGBTNL42162WYNX</t>
  </si>
  <si>
    <t>6MMTLGBTNL42168WYNX</t>
  </si>
  <si>
    <t>6MMTLGBTNL42174WYNX</t>
  </si>
  <si>
    <t>6MMTLGBTNL42180WYNX</t>
  </si>
  <si>
    <t>6MMTLGBTNL42186WYNX</t>
  </si>
  <si>
    <t>6MMTLGBTNL42192WYNX</t>
  </si>
  <si>
    <t>6MMTLGBTNL48120WYNX</t>
  </si>
  <si>
    <t>6MMTLGBTNL48126WYNX</t>
  </si>
  <si>
    <t>6MMTLGBTNL48132WYNX</t>
  </si>
  <si>
    <t>6MMTLGBTNL48138WYNX</t>
  </si>
  <si>
    <t>6MMTLGBTNL48144WYNX</t>
  </si>
  <si>
    <t>6MMTLGBTNL48150WYNX</t>
  </si>
  <si>
    <t>6MMTLGBTNL48156WYNX</t>
  </si>
  <si>
    <t>6MMTLGBTNL48162WYNX</t>
  </si>
  <si>
    <t>6MMTLGBTNL48168WYNX</t>
  </si>
  <si>
    <t>6MMTLGBTNL48174WYNX</t>
  </si>
  <si>
    <t>6MMTLGBTNL48180WYNX</t>
  </si>
  <si>
    <t>6MMTLGBTNL48186WYNX</t>
  </si>
  <si>
    <t>6MMTLGBTNL48192WYNX</t>
  </si>
  <si>
    <t>6MMTLGBTNL54120WYNX</t>
  </si>
  <si>
    <t>6MMTLGBTNL54126WYNX</t>
  </si>
  <si>
    <t>6MMTLGBTNL54132WYNX</t>
  </si>
  <si>
    <t>6MMTLGBTNL54138WYNX</t>
  </si>
  <si>
    <t>6MMTLGBTNL54144WYNX</t>
  </si>
  <si>
    <t>6MMTLGBTNL54150WYNX</t>
  </si>
  <si>
    <t>6MMTLGBTNL54156WYNX</t>
  </si>
  <si>
    <t>6MMTLGBTNL54162WYNX</t>
  </si>
  <si>
    <t>6MMTLGBTNL54168WYNX</t>
  </si>
  <si>
    <t>6MMTLGBTNL54174WYNX</t>
  </si>
  <si>
    <t>6MMTLGBTNL54180WYNX</t>
  </si>
  <si>
    <t>6MMTLGBTNL54186WYNX</t>
  </si>
  <si>
    <t>6MMTLGBTNL54192WYNX</t>
  </si>
  <si>
    <t>6MMTLGBTNL60120WYNX</t>
  </si>
  <si>
    <t>6MMTLGBTNL60126WYNX</t>
  </si>
  <si>
    <t>6MMTLGBTNL60132WYNX</t>
  </si>
  <si>
    <t>6MMTLGBTNL60138WYNX</t>
  </si>
  <si>
    <t>6MMTLGBTNL60144WYNX</t>
  </si>
  <si>
    <t>6MMTLGBTNL60150WYNX</t>
  </si>
  <si>
    <t>6MMTLGBTNL60156WYNX</t>
  </si>
  <si>
    <t>6MMTLGBTNL60162WYNX</t>
  </si>
  <si>
    <t>6MMTLGBTNL60168WYNX</t>
  </si>
  <si>
    <t>6MMTLGBTNL60174WYNX</t>
  </si>
  <si>
    <t>6MMTLGBTNL60180WYNX</t>
  </si>
  <si>
    <t>6MMTLGBTNL60186WYNX</t>
  </si>
  <si>
    <t>6MMTLGBTNL60192WYNX</t>
  </si>
  <si>
    <t>6MMTLGBTNW42120WYNX</t>
  </si>
  <si>
    <t>6MMTLGBTNW42126WYNX</t>
  </si>
  <si>
    <t>6MMTLGBTNW42132WYNX</t>
  </si>
  <si>
    <t>6MMTLGBTNW42138WYNX</t>
  </si>
  <si>
    <t>6MMTLGBTNW42144WYNX</t>
  </si>
  <si>
    <t>6MMTLGBTNW42150WYNX</t>
  </si>
  <si>
    <t>6MMTLGBTNW42156WYNX</t>
  </si>
  <si>
    <t>6MMTLGBTNW42162WYNX</t>
  </si>
  <si>
    <t>6MMTLGBTNW42168WYNX</t>
  </si>
  <si>
    <t>6MMTLGBTNW42174WYNX</t>
  </si>
  <si>
    <t>6MMTLGBTNW42180WYNX</t>
  </si>
  <si>
    <t>6MMTLGBTNW42186WYNX</t>
  </si>
  <si>
    <t>6MMTLGBTNW42192WYNX</t>
  </si>
  <si>
    <t>6MMTLGBTNW48120WYNX</t>
  </si>
  <si>
    <t>6MMTLGBTNW48126WYNX</t>
  </si>
  <si>
    <t>6MMTLGBTNW48132WYNX</t>
  </si>
  <si>
    <t>6MMTLGBTNW48138WYNX</t>
  </si>
  <si>
    <t>6MMTLGBTNW48144WYNX</t>
  </si>
  <si>
    <t>6MMTLGBTNW48150WYNX</t>
  </si>
  <si>
    <t>6MMTLGBTNW48156WYNX</t>
  </si>
  <si>
    <t>6MMTLGBTNW48162WYNX</t>
  </si>
  <si>
    <t>6MMTLGBTNW48168WYNX</t>
  </si>
  <si>
    <t>6MMTLGBTNW48174WYNX</t>
  </si>
  <si>
    <t>6MMTLGBTNW48180WYNX</t>
  </si>
  <si>
    <t>6MMTLGBTNW48186WYNX</t>
  </si>
  <si>
    <t>6MMTLGBTNW48192WYNX</t>
  </si>
  <si>
    <t>6MMTLGBTNW54120WYNX</t>
  </si>
  <si>
    <t>6MMTLGBTNW54126WYNX</t>
  </si>
  <si>
    <t>6MMTLGBTNW54132WYNX</t>
  </si>
  <si>
    <t>6MMTLGBTNW54138WYNX</t>
  </si>
  <si>
    <t>6MMTLGBTNW54144WYNX</t>
  </si>
  <si>
    <t>6MMTLGBTNW54150WYNX</t>
  </si>
  <si>
    <t>6MMTLGBTNW54156WYNX</t>
  </si>
  <si>
    <t>6MMTLGBTNW54162WYNX</t>
  </si>
  <si>
    <t>6MMTLGBTNW54168WYNX</t>
  </si>
  <si>
    <t>6MMTLGBTNW54174WYNX</t>
  </si>
  <si>
    <t>6MMTLGBTNW54180WYNX</t>
  </si>
  <si>
    <t>6MMTLGBTNW54186WYNX</t>
  </si>
  <si>
    <t>6MMTLGBTNW54192WYNX</t>
  </si>
  <si>
    <t>6MMTLGBTNW60120WYNX</t>
  </si>
  <si>
    <t>6MMTLGBTNW60126WYNX</t>
  </si>
  <si>
    <t>6MMTLGBTNW60132WYNX</t>
  </si>
  <si>
    <t>6MMTLGBTNW60138WYNX</t>
  </si>
  <si>
    <t>6MMTLGBTNW60144WYNX</t>
  </si>
  <si>
    <t>6MMTLGBTNW60150WYNX</t>
  </si>
  <si>
    <t>6MMTLGBTNW60156WYNX</t>
  </si>
  <si>
    <t>6MMTLGBTNW60162WYNX</t>
  </si>
  <si>
    <t>6MMTLGBTNW60168WYNX</t>
  </si>
  <si>
    <t>6MMTLGBTNW60174WYNX</t>
  </si>
  <si>
    <t>6MMTLGBTNW60180WYNX</t>
  </si>
  <si>
    <t>6MMTLGBTNW60186WYNX</t>
  </si>
  <si>
    <t>6MMTLGBTNW60192WYNX</t>
  </si>
  <si>
    <t>126x42x36</t>
  </si>
  <si>
    <t>132x42x36</t>
  </si>
  <si>
    <t>138x42x36</t>
  </si>
  <si>
    <t>144x42x36</t>
  </si>
  <si>
    <t>150x42x36</t>
  </si>
  <si>
    <t>156x42x36</t>
  </si>
  <si>
    <t>162x42x36</t>
  </si>
  <si>
    <t>168x42x36</t>
  </si>
  <si>
    <t>174x42x36</t>
  </si>
  <si>
    <t>180x42x36</t>
  </si>
  <si>
    <t>186x42x36</t>
  </si>
  <si>
    <t>192x42x36</t>
  </si>
  <si>
    <t>126x48x42</t>
  </si>
  <si>
    <t>132x48x42</t>
  </si>
  <si>
    <t>138x48x42</t>
  </si>
  <si>
    <t>144x48x42</t>
  </si>
  <si>
    <t>150x48x42</t>
  </si>
  <si>
    <t>156x48x42</t>
  </si>
  <si>
    <t>162x48x42</t>
  </si>
  <si>
    <t>168x48x42</t>
  </si>
  <si>
    <t>174x48x42</t>
  </si>
  <si>
    <t>180x48x42</t>
  </si>
  <si>
    <t>186x48x42</t>
  </si>
  <si>
    <t>192x48x42</t>
  </si>
  <si>
    <t>120x54x42</t>
  </si>
  <si>
    <t>126x54x42</t>
  </si>
  <si>
    <t>132x54x42</t>
  </si>
  <si>
    <t>138x54x42</t>
  </si>
  <si>
    <t>144x54x42</t>
  </si>
  <si>
    <t>150x54x42</t>
  </si>
  <si>
    <t>156x54x42</t>
  </si>
  <si>
    <t>162x54x42</t>
  </si>
  <si>
    <t>168x54x42</t>
  </si>
  <si>
    <t>174x54x42</t>
  </si>
  <si>
    <t>180x54x42</t>
  </si>
  <si>
    <t>186x54x42</t>
  </si>
  <si>
    <t>192x54x42</t>
  </si>
  <si>
    <t>120x60x48</t>
  </si>
  <si>
    <t>126x60x48</t>
  </si>
  <si>
    <t>132x60x48</t>
  </si>
  <si>
    <t>138x60x48</t>
  </si>
  <si>
    <t>144x60x48</t>
  </si>
  <si>
    <t>150x60x48</t>
  </si>
  <si>
    <t>156x60x48</t>
  </si>
  <si>
    <t>162x60x48</t>
  </si>
  <si>
    <t>168x60x48</t>
  </si>
  <si>
    <t>174x60x48</t>
  </si>
  <si>
    <t>180x60x48</t>
  </si>
  <si>
    <t>186x60x48</t>
  </si>
  <si>
    <t>192x60x48</t>
  </si>
  <si>
    <t xml:space="preserve">Laminate Top/ 3 Bases (2) (513921325) (1) (513925325) + (2) 27" Consoles + 51PDAD03-16 + 51PDC03-16 Standard Laminate </t>
  </si>
  <si>
    <t>Wood Veneer Top/ 3 Bases (2) (513921325) (1) (513925325) + (2) 27" Consoles + 51PDAD03-16 + 51PDC03-16 Quarter Cut Walnut ( Quarter Cut Cherry, Maple Or Rift White Oak Can Be Ordered At Laminate Pricing)</t>
  </si>
  <si>
    <t>Krug Inc.- 510212642</t>
  </si>
  <si>
    <t>Krug Inc.- 510213242</t>
  </si>
  <si>
    <t>Krug Inc.- 510213842</t>
  </si>
  <si>
    <t>Krug Inc.- 510214442</t>
  </si>
  <si>
    <t>Krug Inc.- 510215042</t>
  </si>
  <si>
    <t>Krug Inc.- 510215642</t>
  </si>
  <si>
    <t>Krug Inc.- 510216242</t>
  </si>
  <si>
    <t>Krug Inc.- 510216842</t>
  </si>
  <si>
    <t>Krug Inc.- 510217442</t>
  </si>
  <si>
    <t>Krug Inc.- 510218042</t>
  </si>
  <si>
    <t>Krug Inc.- 510218642</t>
  </si>
  <si>
    <t>Krug Inc.- 510219242</t>
  </si>
  <si>
    <t>Krug Inc.- 510212648</t>
  </si>
  <si>
    <t>Krug Inc.- 510213248</t>
  </si>
  <si>
    <t>Krug Inc.- 510213848</t>
  </si>
  <si>
    <t>Krug Inc.- 510214448</t>
  </si>
  <si>
    <t>Krug Inc.- 510215048</t>
  </si>
  <si>
    <t>Krug Inc.- 510215648</t>
  </si>
  <si>
    <t>Krug Inc.- 510216248</t>
  </si>
  <si>
    <t>Krug Inc.- 510216848</t>
  </si>
  <si>
    <t>Krug Inc.- 510217448</t>
  </si>
  <si>
    <t>Krug Inc.- 510218048</t>
  </si>
  <si>
    <t>Krug Inc.- 510218648</t>
  </si>
  <si>
    <t>Krug Inc.- 510219248</t>
  </si>
  <si>
    <t>Krug Inc.- 510212054</t>
  </si>
  <si>
    <t>Krug Inc.- 510212654</t>
  </si>
  <si>
    <t>Krug Inc.- 510213254</t>
  </si>
  <si>
    <t>Krug Inc.- 510213854</t>
  </si>
  <si>
    <t>Krug Inc.- 510214454</t>
  </si>
  <si>
    <t>Krug Inc.- 510215054</t>
  </si>
  <si>
    <t>Krug Inc.- 510215654</t>
  </si>
  <si>
    <t>Krug Inc.- 510216254</t>
  </si>
  <si>
    <t>Krug Inc.- 510216854</t>
  </si>
  <si>
    <t>Krug Inc.- 510217454</t>
  </si>
  <si>
    <t>Krug Inc.- 510218054</t>
  </si>
  <si>
    <t>Krug Inc.- 510218654</t>
  </si>
  <si>
    <t>Krug Inc.- 510219254</t>
  </si>
  <si>
    <t>Krug Inc.- 510212060</t>
  </si>
  <si>
    <t>Krug Inc.- 510212660</t>
  </si>
  <si>
    <t>Krug Inc.- 510213260</t>
  </si>
  <si>
    <t>Krug Inc.- 510213860</t>
  </si>
  <si>
    <t>Krug Inc.- 510214460</t>
  </si>
  <si>
    <t>Krug Inc.- 510215060</t>
  </si>
  <si>
    <t>Krug Inc.- 510215660</t>
  </si>
  <si>
    <t>Krug Inc.- 510216260</t>
  </si>
  <si>
    <t>Krug Inc.- 510216860</t>
  </si>
  <si>
    <t>Krug Inc.- 510217460</t>
  </si>
  <si>
    <t>Krug Inc.- 510218060</t>
  </si>
  <si>
    <t>Krug Inc.- 510218660</t>
  </si>
  <si>
    <t>Krug Inc.- 510219260</t>
  </si>
  <si>
    <t>6MMTLGRTNL42120WYNX</t>
  </si>
  <si>
    <t>6MMTLGRTNL42126WYNX</t>
  </si>
  <si>
    <t>6MMTLGRTNL42132WYNX</t>
  </si>
  <si>
    <t>6MMTLGRTNL42138WYNX</t>
  </si>
  <si>
    <t>6MMTLGRTNL42144WYNX</t>
  </si>
  <si>
    <t>6MMTLGRTNL42150WYNX</t>
  </si>
  <si>
    <t>6MMTLGRTNL42156WYNX</t>
  </si>
  <si>
    <t>6MMTLGRTNL42162WYNX</t>
  </si>
  <si>
    <t>6MMTLGRTNL42168WYNX</t>
  </si>
  <si>
    <t>6MMTLGRTNL42174WYNX</t>
  </si>
  <si>
    <t>6MMTLGRTNL42180WYNX</t>
  </si>
  <si>
    <t>6MMTLGRTNL42186WYNX</t>
  </si>
  <si>
    <t>6MMTLGRTNL42192WYNX</t>
  </si>
  <si>
    <t>6MMTLGRTNL48120WYNX</t>
  </si>
  <si>
    <t>6MMTLGRTNL48126WYNX</t>
  </si>
  <si>
    <t>6MMTLGRTNL48132WYNX</t>
  </si>
  <si>
    <t>6MMTLGRTNL48138WYNX</t>
  </si>
  <si>
    <t>6MMTLGRTNL48144WYNX</t>
  </si>
  <si>
    <t>6MMTLGRTNL48150WYNX</t>
  </si>
  <si>
    <t>6MMTLGRTNL48156WYNX</t>
  </si>
  <si>
    <t>6MMTLGRTNL48162WYNX</t>
  </si>
  <si>
    <t>6MMTLGRTNL48168WYNX</t>
  </si>
  <si>
    <t>6MMTLGRTNL48174WYNX</t>
  </si>
  <si>
    <t>6MMTLGRTNL48180WYNX</t>
  </si>
  <si>
    <t>6MMTLGRTNL48186WYNX</t>
  </si>
  <si>
    <t>6MMTLGRTNL48192WYNX</t>
  </si>
  <si>
    <t>6MMTLGRTNL54120WYNX</t>
  </si>
  <si>
    <t>6MMTLGRTNL54126WYNX</t>
  </si>
  <si>
    <t>6MMTLGRTNL54132WYNX</t>
  </si>
  <si>
    <t>6MMTLGRTNL54138WYNX</t>
  </si>
  <si>
    <t>6MMTLGRTNL54144WYNX</t>
  </si>
  <si>
    <t>6MMTLGRTNL54150WYNX</t>
  </si>
  <si>
    <t>6MMTLGRTNL54156WYNX</t>
  </si>
  <si>
    <t>6MMTLGRTNL54162WYNX</t>
  </si>
  <si>
    <t>6MMTLGRTNL54168WYNX</t>
  </si>
  <si>
    <t>6MMTLGRTNL54174WYNX</t>
  </si>
  <si>
    <t>6MMTLGRTNL54180WYNX</t>
  </si>
  <si>
    <t>6MMTLGRTNL54186WYNX</t>
  </si>
  <si>
    <t>6MMTLGRTNL54192WYNX</t>
  </si>
  <si>
    <t>6MMTLGRTNL60120WYNX</t>
  </si>
  <si>
    <t>6MMTLGRTNL60126WYNX</t>
  </si>
  <si>
    <t>6MMTLGRTNL60132WYNX</t>
  </si>
  <si>
    <t>6MMTLGRTNL60138WYNX</t>
  </si>
  <si>
    <t>6MMTLGRTNL60144WYNX</t>
  </si>
  <si>
    <t>6MMTLGRTNL60150WYNX</t>
  </si>
  <si>
    <t>6MMTLGRTNL60156WYNX</t>
  </si>
  <si>
    <t>6MMTLGRTNL60162WYNX</t>
  </si>
  <si>
    <t>6MMTLGRTNL60168WYNX</t>
  </si>
  <si>
    <t>6MMTLGRTNL60174WYNX</t>
  </si>
  <si>
    <t>6MMTLGRTNL60180WYNX</t>
  </si>
  <si>
    <t>6MMTLGRTNL60186WYNX</t>
  </si>
  <si>
    <t>6MMTLGRTNL60192WYNX</t>
  </si>
  <si>
    <t>6MMTLGRTNW42120WYNX</t>
  </si>
  <si>
    <t>6MMTLGRTNW42126WYNX</t>
  </si>
  <si>
    <t>6MMTLGRTNW42132WYNX</t>
  </si>
  <si>
    <t>6MMTLGRTNW42138WYNX</t>
  </si>
  <si>
    <t>6MMTLGRTNW42144WYNX</t>
  </si>
  <si>
    <t>6MMTLGRTNW42150WYNX</t>
  </si>
  <si>
    <t>6MMTLGRTNW42156WYNX</t>
  </si>
  <si>
    <t>6MMTLGRTNW42162WYNX</t>
  </si>
  <si>
    <t>6MMTLGRTNW42168WYNX</t>
  </si>
  <si>
    <t>6MMTLGRTNW42174WYNX</t>
  </si>
  <si>
    <t>6MMTLGRTNW42180WYNX</t>
  </si>
  <si>
    <t>6MMTLGRTNW42186WYNX</t>
  </si>
  <si>
    <t>6MMTLGRTNW42192WYNX</t>
  </si>
  <si>
    <t>6MMTLGRTNW48120WYNX</t>
  </si>
  <si>
    <t>6MMTLGRTNW48126WYNX</t>
  </si>
  <si>
    <t>6MMTLGRTNW48132WYNX</t>
  </si>
  <si>
    <t>6MMTLGRTNW48138WYNX</t>
  </si>
  <si>
    <t>6MMTLGRTNW48144WYNX</t>
  </si>
  <si>
    <t>6MMTLGRTNW48150WYNX</t>
  </si>
  <si>
    <t>6MMTLGRTNW48156WYNX</t>
  </si>
  <si>
    <t>6MMTLGRTNW48162WYNX</t>
  </si>
  <si>
    <t>6MMTLGRTNW48168WYNX</t>
  </si>
  <si>
    <t>6MMTLGRTNW48174WYNX</t>
  </si>
  <si>
    <t>6MMTLGRTNW48180WYNX</t>
  </si>
  <si>
    <t>6MMTLGRTNW48186WYNX</t>
  </si>
  <si>
    <t>6MMTLGRTNW48192WYNX</t>
  </si>
  <si>
    <t>6MMTLGRTNW54120WYNX</t>
  </si>
  <si>
    <t>6MMTLGRTNW54126WYNX</t>
  </si>
  <si>
    <t>6MMTLGRTNW54132WYNX</t>
  </si>
  <si>
    <t>6MMTLGRTNW54138WYNX</t>
  </si>
  <si>
    <t>6MMTLGRTNW54144WYNX</t>
  </si>
  <si>
    <t>6MMTLGRTNW54150WYNX</t>
  </si>
  <si>
    <t>6MMTLGRTNW54156WYNX</t>
  </si>
  <si>
    <t>6MMTLGRTNW54162WYNX</t>
  </si>
  <si>
    <t>6MMTLGRTNW54168WYNX</t>
  </si>
  <si>
    <t>6MMTLGRTNW54174WYNX</t>
  </si>
  <si>
    <t>6MMTLGRTNW54180WYNX</t>
  </si>
  <si>
    <t>6MMTLGRTNW54186WYNX</t>
  </si>
  <si>
    <t>6MMTLGRTNW54192WYNX</t>
  </si>
  <si>
    <t>6MMTLGRTNW60120WYNX</t>
  </si>
  <si>
    <t>6MMTLGRTNW60126WYNX</t>
  </si>
  <si>
    <t>6MMTLGRTNW60132WYNX</t>
  </si>
  <si>
    <t>6MMTLGRTNW60138WYNX</t>
  </si>
  <si>
    <t>6MMTLGRTNW60144WYNX</t>
  </si>
  <si>
    <t>6MMTLGRTNW60150WYNX</t>
  </si>
  <si>
    <t>6MMTLGRTNW60156WYNX</t>
  </si>
  <si>
    <t>6MMTLGRTNW60162WYNX</t>
  </si>
  <si>
    <t>6MMTLGRTNW60168WYNX</t>
  </si>
  <si>
    <t>6MMTLGRTNW60174WYNX</t>
  </si>
  <si>
    <t>6MMTLGRTNW60180WYNX</t>
  </si>
  <si>
    <t>6MMTLGRTNW60186WYNX</t>
  </si>
  <si>
    <t>6MMTLGRTNW60192WYNX</t>
  </si>
  <si>
    <t>Krug Inc.- 61THRT-3624-MX23</t>
  </si>
  <si>
    <t>Krug Inc.- 61THRT-3624X23</t>
  </si>
  <si>
    <t>Krug Inc.- 61THRT-4224-MX23</t>
  </si>
  <si>
    <t>Krug Inc.- 61THRT-4224X23</t>
  </si>
  <si>
    <t>Krug Inc.- 61THRT-4824-MX23</t>
  </si>
  <si>
    <t>Krug Inc.- 61THRT-4824X23</t>
  </si>
  <si>
    <t>Krug Inc.- 61THRT-5424-MX23</t>
  </si>
  <si>
    <t>Krug Inc.- 61THRT-5424X23</t>
  </si>
  <si>
    <t>Krug Inc.- 61THRT-6024-MX23</t>
  </si>
  <si>
    <t>Krug Inc.- 61THRT-6024X23</t>
  </si>
  <si>
    <t>Krug Inc.- 61THRT-7224-MX23</t>
  </si>
  <si>
    <t>Krug Inc.- 61THRT-7224X23</t>
  </si>
  <si>
    <t>Krug Inc.- 61THRT-3630-MX23</t>
  </si>
  <si>
    <t>Krug Inc.- 61THRT-3630 X23</t>
  </si>
  <si>
    <t>Krug Inc.- 61THRT-4230-MX23</t>
  </si>
  <si>
    <t>Krug Inc.- 61THRT-4236X23</t>
  </si>
  <si>
    <t>Krug Inc.- 61THRT-4830-MX23</t>
  </si>
  <si>
    <t>Krug Inc.- 61THRT-4830X23</t>
  </si>
  <si>
    <t>Krug Inc.- 61THRT-5430-MX23</t>
  </si>
  <si>
    <t>Krug Inc.- 61THRT-5430X23</t>
  </si>
  <si>
    <t>Krug Inc.- 61THRT-6030-MX23</t>
  </si>
  <si>
    <t>Krug Inc.- 61THRT-6030X23</t>
  </si>
  <si>
    <t>Krug Inc.- 61THRT-7230-MX23</t>
  </si>
  <si>
    <t>Krug Inc.- 61THRT-7230X23</t>
  </si>
  <si>
    <t>6MTRXTRELL24L36WYYY</t>
  </si>
  <si>
    <t>6MTRXTRELL24L36WYYN</t>
  </si>
  <si>
    <t>6MTRXTRELL24L42WYYY</t>
  </si>
  <si>
    <t>6MTRXTRELL24L42WYYN</t>
  </si>
  <si>
    <t>6MTRXTRELL24L48WYYY</t>
  </si>
  <si>
    <t>6MTRXTRELL24L48WYYN</t>
  </si>
  <si>
    <t>6MTRXTRELL24L54WYYY</t>
  </si>
  <si>
    <t>6MTRXTRELL24L54WYYN</t>
  </si>
  <si>
    <t>6MTRXTRELL24L60WYYY</t>
  </si>
  <si>
    <t>6MTRXTRELL24L60WYYN</t>
  </si>
  <si>
    <t>6MTRXTRELL24L72WYYY</t>
  </si>
  <si>
    <t>6MTRXTRELL24L72WYYN</t>
  </si>
  <si>
    <t>6MTRXTRELL30L36WYYY</t>
  </si>
  <si>
    <t>6MTRXTRELL30L36WYYN</t>
  </si>
  <si>
    <t>6MTRXTRELL30L42WYYY</t>
  </si>
  <si>
    <t>6MTRXTRELL30L42WYYN</t>
  </si>
  <si>
    <t>6MTRXTRELL30L48WYYY</t>
  </si>
  <si>
    <t>6MTRXTRELL30L48WYYN</t>
  </si>
  <si>
    <t>6MTRXTRELL30L54WYYY</t>
  </si>
  <si>
    <t>6MTRXTRELL30L54WYYN</t>
  </si>
  <si>
    <t>6MTRXTRELL30L60WYYY</t>
  </si>
  <si>
    <t>6MTRXTRELL30L60WYYN</t>
  </si>
  <si>
    <t>6MTRXTRELL30L72WYYY</t>
  </si>
  <si>
    <t>6MTRXTRELL30L72WYYN</t>
  </si>
  <si>
    <t>6MTRXTRECL24L36WYYY</t>
  </si>
  <si>
    <t>6MTRXTRECL24L36WYYN</t>
  </si>
  <si>
    <t>6MTRXTRECL24L42WYYY</t>
  </si>
  <si>
    <t>6MTRXTRECL24L42WYYN</t>
  </si>
  <si>
    <t>6MTRXTRECL24L48WYYY</t>
  </si>
  <si>
    <t>6MTRXTRECL24L48WYYN</t>
  </si>
  <si>
    <t>6MTRXTRECL24L54WYYY</t>
  </si>
  <si>
    <t>6MTRXTRECL24L54WYYN</t>
  </si>
  <si>
    <t>6MTRXTRECL24L60WYYY</t>
  </si>
  <si>
    <t>6MTRXTRECL24L60WYYN</t>
  </si>
  <si>
    <t>6MTRXTRECL24L72WYYY</t>
  </si>
  <si>
    <t>6MTRXTRECL24L72WYYN</t>
  </si>
  <si>
    <t>6MTRXTRECL30L36WYYY</t>
  </si>
  <si>
    <t>6MTRXTRECL30L36WYYN</t>
  </si>
  <si>
    <t>6MTRXTRECL30L42WYYY</t>
  </si>
  <si>
    <t>6MTRXTRECL30L42WYYN</t>
  </si>
  <si>
    <t>6MTRXTRECL30L48WYYY</t>
  </si>
  <si>
    <t>6MTRXTRECL30L48WYYN</t>
  </si>
  <si>
    <t>6MTRXTRECL30L54WYYY</t>
  </si>
  <si>
    <t>6MTRXTRECL30L54WYYN</t>
  </si>
  <si>
    <t>6MTRXTRECL30L60WYYY</t>
  </si>
  <si>
    <t>6MTRXTRECL30L60WYYN</t>
  </si>
  <si>
    <t>6MTRXTRECL30L72WYYY</t>
  </si>
  <si>
    <t>6MTRXTRECL30L72WYYN</t>
  </si>
  <si>
    <t>36X24</t>
  </si>
  <si>
    <t>42X24</t>
  </si>
  <si>
    <t>48X24</t>
  </si>
  <si>
    <t>54X24</t>
  </si>
  <si>
    <t>60X24</t>
  </si>
  <si>
    <t>72X24</t>
  </si>
  <si>
    <t>36X30</t>
  </si>
  <si>
    <t>42X30</t>
  </si>
  <si>
    <t>48X30</t>
  </si>
  <si>
    <t>54X30</t>
  </si>
  <si>
    <t>60X30</t>
  </si>
  <si>
    <t>72X30</t>
  </si>
  <si>
    <t xml:space="preserve">Race Track Laminate Top W/ Panel Bases W/ Power &amp; Data </t>
  </si>
  <si>
    <t xml:space="preserve">Race Track Wood Top W/ Panel Bases W/ Power &amp; Data </t>
  </si>
  <si>
    <t>Krug Inc.- 59THRT3624TBCW1F62</t>
  </si>
  <si>
    <t>Krug Inc.- 59THRT3624TBGW1F62</t>
  </si>
  <si>
    <t>Krug Inc.- 59THRT4830TBGW1F62</t>
  </si>
  <si>
    <t>Krug Inc.- 59THRT5430TBCW1F62</t>
  </si>
  <si>
    <t>Krug Inc.- 59THRT5430TBGW1F62</t>
  </si>
  <si>
    <t>Krug Inc.- 59THRT6030TBGW1F62</t>
  </si>
  <si>
    <t>Krug Inc.- 59THRT6030TBCW1F62</t>
  </si>
  <si>
    <t>Krug Inc.- 59THRT7230TBCW1F62</t>
  </si>
  <si>
    <t>Krug Inc.- 59THRT7230TBGW1F62</t>
  </si>
  <si>
    <t>Krug Inc.- 59THRT4224TBCW1F62</t>
  </si>
  <si>
    <t>Krug Inc.- 59THRT4224TBGW1F62</t>
  </si>
  <si>
    <t>Krug Inc.- 59THRT4824TBCW1F62</t>
  </si>
  <si>
    <t>Krug Inc.- 59THRT4824TBGW1F62</t>
  </si>
  <si>
    <t>Krug Inc.- 59THRT5424TBCW1F62</t>
  </si>
  <si>
    <t>Krug Inc.- 59THRT5424TBGW1F62</t>
  </si>
  <si>
    <t>Krug Inc.- 59THRT6024TBCW1F62</t>
  </si>
  <si>
    <t>Krug Inc.- 59THRT6024TBGW1F62</t>
  </si>
  <si>
    <t>Krug Inc.- 59THRT7224TBCW1F62</t>
  </si>
  <si>
    <t>Krug Inc.- 59THRT7224TBGW1F62</t>
  </si>
  <si>
    <t>Krug Inc.- 59THRT3630TBCW1F62</t>
  </si>
  <si>
    <t>Krug Inc.- 59THRT3630TBGW1F62</t>
  </si>
  <si>
    <t>Krug Inc.- 59THRT4230TBCW1F62</t>
  </si>
  <si>
    <t>Krug Inc.- 59THRT4230TBGW1F62</t>
  </si>
  <si>
    <t>Krug Inc.- 59THRT4830TBCW1F62</t>
  </si>
  <si>
    <t>Rectangular Laminate Top, T-Base W/ Casters, Laminate Modesty Pane, Power &amp; Data</t>
  </si>
  <si>
    <t xml:space="preserve">Rectangular Laminate Top, T-Base W/ Glides, Laminate Modesty Panel, Power &amp;Data </t>
  </si>
  <si>
    <t xml:space="preserve">Laminate Top, 4 Legs W/ Casters, Laminate Modesty Panel W/ 61 Power Port </t>
  </si>
  <si>
    <t xml:space="preserve">Laminate Top, 4 Legs W/ Glides, Laminate Modesty Panel W/61 Power Port </t>
  </si>
  <si>
    <t>Laminate Top, T-base W/ Casters, Laminate Modesty Panel W/ 59 Power Port (C-Base Can Be Ordered At The Same Price Of T-Base, Change Model Number "TBC" To "CBC")</t>
  </si>
  <si>
    <t>Laminate Top, T-base W/ Glides, Laminate Modesty Panel W/59 Power Port  (C-Base Can Be Ordered At The Same Price Of T-Base, Change Model Number "TBG" To "CBG")</t>
  </si>
  <si>
    <t>Laminate Top, T-base W/ Glides, Laminate Modesty Panel W/59 Power Port (C-Base Can Be Ordered At The Same Price Of T-Base, Change Model Number "TBG" To "CBG")</t>
  </si>
  <si>
    <t>Krug Inc.- 61THTZ48-2424-MX23</t>
  </si>
  <si>
    <t>Krug Inc.- 61THTZ48-2424X23</t>
  </si>
  <si>
    <t>Krug Inc.- 61THTZ54-2424-MX23</t>
  </si>
  <si>
    <t>Krug Inc.- 61THTZ54-2424X23</t>
  </si>
  <si>
    <t>Krug Inc.- 61THTZ60-2424-MX23</t>
  </si>
  <si>
    <t>Krug Inc.- 61THTZ60-2424X23</t>
  </si>
  <si>
    <t>Krug Inc.- 61THTRZ72-2424-MX23</t>
  </si>
  <si>
    <t>Krug Inc.- 61THTRZ72-2424X23</t>
  </si>
  <si>
    <t>6MTRXTTZLL24L48WYYY</t>
  </si>
  <si>
    <t>6MTRXTTZLL24L48WYYN</t>
  </si>
  <si>
    <t>6MTRXTTZLL24L54WYYY</t>
  </si>
  <si>
    <t>6MTRXTTZLL24L54WYYN</t>
  </si>
  <si>
    <t>6MTRXTTZLL24L60WYYY</t>
  </si>
  <si>
    <t>6MTRXTTZLL24L60WYYN</t>
  </si>
  <si>
    <t>6MTRXTTZLL24L72WYYY</t>
  </si>
  <si>
    <t>6MTRXTTZLL24L72WYYN</t>
  </si>
  <si>
    <t>Trapezoid Laminate Top, 4 LegsW/ Casters, Laminate Modesty Pane, Power &amp; Data</t>
  </si>
  <si>
    <t xml:space="preserve">Trapezoid Laminate Top, 4 LegsW/ Glides, Laminate Modesty Panel, Power &amp;Data </t>
  </si>
  <si>
    <t>Krug Inc.- 61THTZ48-3030-MX23</t>
  </si>
  <si>
    <t>Krug Inc.- 61THTZ48-3030X23</t>
  </si>
  <si>
    <t>Krug Inc.- 61THTZ54-3030-MX23</t>
  </si>
  <si>
    <t>Krug Inc.- 61THTZ54-3030X23</t>
  </si>
  <si>
    <t>Krug Inc.- 61THTZ60-3030-MX23</t>
  </si>
  <si>
    <t>Krug Inc.- 61THTZ60-3030X23</t>
  </si>
  <si>
    <t>Krug Inc.- 61THTZ72-3030-MX23</t>
  </si>
  <si>
    <t>Krug Inc.- 61THTZ72-3030X23</t>
  </si>
  <si>
    <t>6MTRXTTZLL30L48WYYY</t>
  </si>
  <si>
    <t>6MTRXTTZLL30L48WYYN</t>
  </si>
  <si>
    <t>6MTRXTTZLL30L54WYYY</t>
  </si>
  <si>
    <t>6MTRXTTZLL30L54WYYN</t>
  </si>
  <si>
    <t>6MTRXTTZLL30L60WYYY</t>
  </si>
  <si>
    <t>6MTRXTTZLL30L60WYYN</t>
  </si>
  <si>
    <t>6MTRXTTZLL30L72WYYY</t>
  </si>
  <si>
    <t>6MTRXTTZLL30L72WYYN</t>
  </si>
  <si>
    <t>Krug Inc.- 59THTZ4824TBCW1F62</t>
  </si>
  <si>
    <t>Krug Inc.- 59THTZ5424TBCW1F62</t>
  </si>
  <si>
    <t>Krug Inc.- 59THTZ6024TBCW1F62</t>
  </si>
  <si>
    <t>Krug Inc.- 59THTZ2724TBCW1F62</t>
  </si>
  <si>
    <t>Krug Inc.- 59THTZ4824TBGW1F62</t>
  </si>
  <si>
    <t>Krug Inc.- 59THTZ5424TBGW1F62</t>
  </si>
  <si>
    <t>Krug Inc.- 59THTZ6024TBGW1F62</t>
  </si>
  <si>
    <t>Krug Inc.- 59THTZ2724TBGW1F62</t>
  </si>
  <si>
    <t>Krug Inc.- 59THTZ4830TBCW1F62</t>
  </si>
  <si>
    <t>Krug Inc.- 59THTZ4830TBGW1F62</t>
  </si>
  <si>
    <t>Krug Inc.- 59THTZ5430TBCW1F62</t>
  </si>
  <si>
    <t>Krug Inc.- 59THTZ5430TBGW1F62</t>
  </si>
  <si>
    <t>Krug Inc.- 59THTZ6030TBCW1F62</t>
  </si>
  <si>
    <t>Krug Inc.- 59THTZ6030TBGW1F62</t>
  </si>
  <si>
    <t>Krug Inc.- 59THTZ2730TBCW1F62</t>
  </si>
  <si>
    <t>Krug Inc.- 59THTZ2730TBGW1F62</t>
  </si>
  <si>
    <t>6MTRXTTZCL24L48WYYY</t>
  </si>
  <si>
    <t>6MTRXTTZCL24L48WYYN</t>
  </si>
  <si>
    <t>6MTRXTTZCL24L54WYYY</t>
  </si>
  <si>
    <t>6MTRXTTZCL24L54WYYN</t>
  </si>
  <si>
    <t>6MTRXTTZCL24L60WYYY</t>
  </si>
  <si>
    <t>6MTRXTTZCL24L60WYYN</t>
  </si>
  <si>
    <t>6MTRXTTZCL24L72WYYY</t>
  </si>
  <si>
    <t>6MTRXTTZCL24L72WYYN</t>
  </si>
  <si>
    <t>6MTRXTTZCL30L48WYYY</t>
  </si>
  <si>
    <t>6MTRXTTZCL30L48WYYN</t>
  </si>
  <si>
    <t>6MTRXTTZCL30L54WYYY</t>
  </si>
  <si>
    <t>6MTRXTTZCL30L54WYYN</t>
  </si>
  <si>
    <t>6MTRXTTZCL30L60WYYY</t>
  </si>
  <si>
    <t>6MTRXTTZCL30L60WYYN</t>
  </si>
  <si>
    <t>6MTRXTTZCL30L72WYYY</t>
  </si>
  <si>
    <t>6MTRXTTZCL30L72WYYN</t>
  </si>
  <si>
    <t>Krug Inc.-61THDH3624X23-MX23</t>
  </si>
  <si>
    <t xml:space="preserve">Krug Inc.-61THDH3624X23 </t>
  </si>
  <si>
    <t>Krug Inc.-61THDH-4224X23 -MX23</t>
  </si>
  <si>
    <t xml:space="preserve">Krug Inc.-61THDH-4224X23 </t>
  </si>
  <si>
    <t>Krug Inc.-61THDH-4824X23-MX23</t>
  </si>
  <si>
    <t>Krug Inc.-61THDH-4824X23</t>
  </si>
  <si>
    <t>Krug Inc.-61THDH-5424X23-MX23</t>
  </si>
  <si>
    <t xml:space="preserve">Krug Inc.-61THDH-5424X23 </t>
  </si>
  <si>
    <t>Krug Inc.-61THDH-6024X23-MX23</t>
  </si>
  <si>
    <t xml:space="preserve">Krug Inc.-61THDH-6024X23 </t>
  </si>
  <si>
    <t>Krug Inc.-61THDH-7224X23-MX23</t>
  </si>
  <si>
    <t xml:space="preserve">Krug Inc.-61THDH-7224X23 </t>
  </si>
  <si>
    <t>6MTRXTHMLL24L36WYYY</t>
  </si>
  <si>
    <t>6MTRXTHMLL24L36WYYN</t>
  </si>
  <si>
    <t>6MTRXTHMLL24L42WYYY</t>
  </si>
  <si>
    <t>6MTRXTHMLL24L42WYYN</t>
  </si>
  <si>
    <t>6MTRXTHMLL24L48WYYY</t>
  </si>
  <si>
    <t>6MTRXTHMLL24L48WYYN</t>
  </si>
  <si>
    <t>6MTRXTHMLL24L54WYYY</t>
  </si>
  <si>
    <t>6MTRXTHMLL24L54WYYN</t>
  </si>
  <si>
    <t>6MTRXTHMLL24L60WYYY</t>
  </si>
  <si>
    <t>6MTRXTHMLL24L60WYYN</t>
  </si>
  <si>
    <t>6MTRXTHMLL24L72WYYY</t>
  </si>
  <si>
    <t>6MTRXTHMLL24L72WYYN</t>
  </si>
  <si>
    <t>Rectangular Laminate Top, 4 Legs W/ Casters, Laminate Modesty Pane, Power &amp; Data</t>
  </si>
  <si>
    <t xml:space="preserve">Rectangular Laminate Top, 4 Legs W/ Glides, Laminate Modesty Panel, Power &amp;Data </t>
  </si>
  <si>
    <t>6MTRXTHMLL30L36WYYY</t>
  </si>
  <si>
    <t>6MTRXTHMLL30L36WYYN</t>
  </si>
  <si>
    <t>6MTRXTHMLL30L42WYYY</t>
  </si>
  <si>
    <t>6MTRXTHMLL30L42WYYN</t>
  </si>
  <si>
    <t>6MTRXTHMLL30L48WYYY</t>
  </si>
  <si>
    <t>6MTRXTHMLL30L48WYYN</t>
  </si>
  <si>
    <t>6MTRXTHMLL30L54WYYY</t>
  </si>
  <si>
    <t>6MTRXTHMLL30L54WYYN</t>
  </si>
  <si>
    <t>6MTRXTHMLL30L60WYYY</t>
  </si>
  <si>
    <t>6MTRXTHMLL30L60WYYN</t>
  </si>
  <si>
    <t>6MTRXTHMLL30L72WYYY</t>
  </si>
  <si>
    <t>6MTRXTHMLL30L72WYYN</t>
  </si>
  <si>
    <t>Krug Inc.-61THDH-3630-MX23</t>
  </si>
  <si>
    <t xml:space="preserve">Krug Inc.-61THDH-3630 </t>
  </si>
  <si>
    <t>Krug Inc.-61THDH-4230-MX23</t>
  </si>
  <si>
    <t xml:space="preserve">Krug Inc.-61THDH-4230 </t>
  </si>
  <si>
    <t>Krug Inc.-61THDH-4830-MX23</t>
  </si>
  <si>
    <t>Krug Inc.-61THDH-4830</t>
  </si>
  <si>
    <t>Krug Inc.-61THDH-5430-MX23</t>
  </si>
  <si>
    <t>Krug Inc.-61THDH-5430</t>
  </si>
  <si>
    <t>Krug Inc.-61THDH-6030-MX23</t>
  </si>
  <si>
    <t>Krug Inc.-61THDH-6030</t>
  </si>
  <si>
    <t>Krug Inc.-61THDH-7230-MX23</t>
  </si>
  <si>
    <t xml:space="preserve">Krug Inc.-61THDH-7230 </t>
  </si>
  <si>
    <t>Half Round Laminate Top, C-Base  W/ Casters, Laminate Modesty Pane, Power &amp; Data</t>
  </si>
  <si>
    <t xml:space="preserve">Half Round Laminate Top, C-Base  W/ Glides, Laminate Modesty Panel, Power &amp;Data </t>
  </si>
  <si>
    <t>Half Round Laminate Top, 4 Legs W/ Casters, Laminate Modesty Pane, Power &amp; Data</t>
  </si>
  <si>
    <t xml:space="preserve">Half Round Laminate Top, 4 Legs W/ Glides, Laminate Modesty Panel, Power &amp;Data </t>
  </si>
  <si>
    <t>6MTRXTHMCL24L48WYYY</t>
  </si>
  <si>
    <t>6MTRXTHMCL24L48WYYN</t>
  </si>
  <si>
    <t>6MTRXTHMCL24L54WYYY</t>
  </si>
  <si>
    <t>6MTRXTHMCL24L54WYYN</t>
  </si>
  <si>
    <t>6MTRXTHMCL24L60WYYY</t>
  </si>
  <si>
    <t>6MTRXTHMCL24L60WYYN</t>
  </si>
  <si>
    <t>6MTRXTHMCL24L72WYYY</t>
  </si>
  <si>
    <t>6MTRXTHMCL24L72WYYN</t>
  </si>
  <si>
    <t>6MTRXTHMCL30L36WYYY</t>
  </si>
  <si>
    <t>6MTRXTHMCL30L36WYYN</t>
  </si>
  <si>
    <t>6MTRXTHMCL30L42WYYY</t>
  </si>
  <si>
    <t>6MTRXTHMCL30L42WYYN</t>
  </si>
  <si>
    <t>6MTRXTHMCL30L48WYYY</t>
  </si>
  <si>
    <t>6MTRXTHMCL30L48WYYN</t>
  </si>
  <si>
    <t>6MTRXTHMCL30L54WYYY</t>
  </si>
  <si>
    <t>6MTRXTHMCL30L54WYYN</t>
  </si>
  <si>
    <t>6MTRXTHMCL30L60WYYY</t>
  </si>
  <si>
    <t>6MTRXTHMCL30L60WYYN</t>
  </si>
  <si>
    <t>6MTRXTHMCL30L72WYYY</t>
  </si>
  <si>
    <t>6MTRXTHMCL30L72WYYN</t>
  </si>
  <si>
    <t>Laminate Top, C-base W/ Casters, Laminate Modesty Panel W/ 59 Power Port (T-Base Cannot Be Ordered)</t>
  </si>
  <si>
    <t>Laminate Top, C-base W/ Glides, Laminate Modesty Panel W/59 Power Port (T-Base Cannot Be Ordered)</t>
  </si>
  <si>
    <t>Laminate Top, C-base W/ Casters, Laminate Modesty Panel W/ 59 Power Port (T-Base Can Be Ordered At The Same Price Of C-base, Change Model Number "CBC" To "TBC")</t>
  </si>
  <si>
    <t>Laminate Top, C-base W/ Glides, Laminate Modesty Panel W/59 Power Port (T-Base Can Be Ordered At The Same Price Of C-base, Change Model Number "CBG" To "TBG")</t>
  </si>
  <si>
    <t>Krug Inc.-59THDH4824CBC1WF62</t>
  </si>
  <si>
    <t>Krug Inc.-59THDH5424CBC1WF62</t>
  </si>
  <si>
    <t>Krug Inc.-59THDH6024CBC1WF62</t>
  </si>
  <si>
    <t>Krug Inc.-59THDH7224CBC1WF62</t>
  </si>
  <si>
    <t>Krug Inc.-59THDH4824CBG1WF62</t>
  </si>
  <si>
    <t>Krug Inc.-59THDH5424CBG1WF62</t>
  </si>
  <si>
    <t>Krug Inc.-59THDH6024CBG1WF62</t>
  </si>
  <si>
    <t>Krug Inc.-59THDH7224CBG1WF62</t>
  </si>
  <si>
    <t>Krug Inc.-59THDH3630CBG1WF62</t>
  </si>
  <si>
    <t>Krug Inc.-59THDH4230CBG1WF62</t>
  </si>
  <si>
    <t>Krug Inc.-59THDH4830CBG1WF62</t>
  </si>
  <si>
    <t>Krug Inc.-59THDH5430CBG1WF62</t>
  </si>
  <si>
    <t>Krug Inc.-59THDH6030CBG1WF62</t>
  </si>
  <si>
    <t>Krug Inc.-59THDH7230CBG1WF62</t>
  </si>
  <si>
    <t>Krug Inc.-59THDH3630CBC1WF62</t>
  </si>
  <si>
    <t>Krug Inc.-59THDH4230CBC1WF62</t>
  </si>
  <si>
    <t>Krug Inc.-59THDH4830CBC1WF62</t>
  </si>
  <si>
    <t>Krug Inc.-59THDH5430CBC1WF62</t>
  </si>
  <si>
    <t>Krug Inc.-59THDH6030CBC1WF62</t>
  </si>
  <si>
    <t>Krug Inc.-59THDH7230CBC1WF62</t>
  </si>
  <si>
    <t>6MTRFTRECL24L36WYYY</t>
  </si>
  <si>
    <t>6MTRFTRECL24L36WYYN</t>
  </si>
  <si>
    <t>6MTRFTRECL24L42WYYY</t>
  </si>
  <si>
    <t>6MTRFTRECL24L42WYYN</t>
  </si>
  <si>
    <t>6MTRFTRECL24L48WYYY</t>
  </si>
  <si>
    <t>6MTRFTRECL24L48WYYN</t>
  </si>
  <si>
    <t>6MTRFTRECL24L54WYYY</t>
  </si>
  <si>
    <t>6MTRFTRECL24L54WYYN</t>
  </si>
  <si>
    <t>6MTRFTRECL24L60WYYY</t>
  </si>
  <si>
    <t>6MTRFTRECL24L60WYYN</t>
  </si>
  <si>
    <t>6MTRFTRECL24L72WYYY</t>
  </si>
  <si>
    <t>6MTRFTRECL24L72WYYN</t>
  </si>
  <si>
    <t>6MTRFTRECL30L36WYYY</t>
  </si>
  <si>
    <t>6MTRFTRECL30L36WYYN</t>
  </si>
  <si>
    <t>6MTRFTRECL30L42WYYY</t>
  </si>
  <si>
    <t>6MTRFTRECL30L42WYYN</t>
  </si>
  <si>
    <t>6MTRFTRECL30L48WYYY</t>
  </si>
  <si>
    <t>6MTRFTRECL30L48WYYN</t>
  </si>
  <si>
    <t>6MTRFTRECL30L54WYYY</t>
  </si>
  <si>
    <t>6MTRFTRECL30L54WYYN</t>
  </si>
  <si>
    <t>6MTRFTRECL30L60WYYY</t>
  </si>
  <si>
    <t>6MTRFTRECL30L60WYYN</t>
  </si>
  <si>
    <t>6MTRFTRECL30L72WYYY</t>
  </si>
  <si>
    <t>6MTRFTRECL30L72WYYN</t>
  </si>
  <si>
    <t>Rectangular Flip Top Laminate Top, T-Base W/ Casters, Laminate Modesty Pane, Power &amp; Data</t>
  </si>
  <si>
    <t xml:space="preserve">Rectangular Flip Top Laminate Top, T-Base W/ Glides, Laminate Modesty Panel, Power &amp;Data </t>
  </si>
  <si>
    <t>Laminate Flip Top, T-base W/ Casters, Laminate Modesty Panel W/ 59 Power Port (C-Base Can Be Ordered At The Same Price Of T-Base, Change Model Number "TBC" To "CBC")</t>
  </si>
  <si>
    <t>6MTRFTTZCL24L36WYYY</t>
  </si>
  <si>
    <t>6MTRFTTZCL24L36WYYN</t>
  </si>
  <si>
    <t>6MTRFTTZCL24L42WYYY</t>
  </si>
  <si>
    <t>6MTRFTTZCL24L42WYYN</t>
  </si>
  <si>
    <t>6MTRFTTZCL24L48WYYY</t>
  </si>
  <si>
    <t>6MTRFTTZCL24L48WYYN</t>
  </si>
  <si>
    <t>6MTRFTTZCL24L54WYYY</t>
  </si>
  <si>
    <t>6MTRFTTZCL24L54WYYN</t>
  </si>
  <si>
    <t>6MTRFTTZCL24L60WYYY</t>
  </si>
  <si>
    <t>6MTRFTTZCL24L60WYYN</t>
  </si>
  <si>
    <t>6MTRFTTZCL24L72WYYY</t>
  </si>
  <si>
    <t>6MTRFTTZCL24L72WYYN</t>
  </si>
  <si>
    <t>6MTRFTTZCL30L36WYYY</t>
  </si>
  <si>
    <t>6MTRFTTZCL30L36WYYN</t>
  </si>
  <si>
    <t>6MTRFTTZCL30L42WYYY</t>
  </si>
  <si>
    <t>6MTRFTTZCL30L42WYYN</t>
  </si>
  <si>
    <t>6MTRFTTZCL30L48WYYY</t>
  </si>
  <si>
    <t>6MTRFTTZCL30L48WYYN</t>
  </si>
  <si>
    <t>6MTRFTTZCL30L54WYYY</t>
  </si>
  <si>
    <t>6MTRFTTZCL30L54WYYN</t>
  </si>
  <si>
    <t>6MTRFTTZCL30L60WYYY</t>
  </si>
  <si>
    <t>6MTRFTTZCL30L60WYYN</t>
  </si>
  <si>
    <t>6MTRFTTZCL30L72WYYY</t>
  </si>
  <si>
    <t>6MTRFTTZCL30L72WYYN</t>
  </si>
  <si>
    <t>Trapezoid Laminate Top, C-Base W/ Casters, Laminate Modesty Pane, Power &amp; Data</t>
  </si>
  <si>
    <t xml:space="preserve">Trapezoid Laminate Top, C-Base W/ Glides, Laminate Modesty Panel, Power &amp;Data </t>
  </si>
  <si>
    <t>Laminate Top, C-Base W/ Casters, Laminate Modesty Panel W/ 59 Power Port (T-Base Cannot Be Ordered)</t>
  </si>
  <si>
    <t>Laminate Top, C-Base W/ Glides, Laminate Modesty Panel W/59 Power Port  (T-Base Cannot Be Ordered)</t>
  </si>
  <si>
    <t>Laminate Top, C-Base W/ Glides, Laminate Modesty Panel W/59 Power Port (T-Base Cannot Be Ordered)</t>
  </si>
  <si>
    <t>Trapezoid Flip Laminate Top, C-Base W/ Casters, Laminate Modesty Pane, Power &amp; Data</t>
  </si>
  <si>
    <t xml:space="preserve">Trapezoid Flip Laminate Top, C-Base W/ Glides, Laminate Modesty Panel, Power &amp;Data </t>
  </si>
  <si>
    <t>Krug Inc.- 59THTZ3624CBFPCW1F62</t>
  </si>
  <si>
    <t>Krug Inc.- 59THTZ4224CBFPCW1F62</t>
  </si>
  <si>
    <t>Krug Inc.- 59THTZ4824CBFPCW1F62</t>
  </si>
  <si>
    <t>Krug Inc.- 59THTZ5424CBFPCW1F62</t>
  </si>
  <si>
    <t>Krug Inc.- 59THTZ6024CBFPCW1F62</t>
  </si>
  <si>
    <t>Krug Inc.- 59THTZ7224CBFPCW1F62</t>
  </si>
  <si>
    <t>Krug Inc.- 59THTZ3630CBFPCW1F62</t>
  </si>
  <si>
    <t>Krug Inc.- 59THTZ4230CBFPCW1F62</t>
  </si>
  <si>
    <t>Krug Inc.- 59THTZ4830CBFPCW1F62</t>
  </si>
  <si>
    <t>Krug Inc.- 59THTZ5430CBFPCW1F62</t>
  </si>
  <si>
    <t>Krug Inc.- 59THTZ6030CBFPCW1F62</t>
  </si>
  <si>
    <t>Krug Inc.- 59THTZ7230CBFPCW1F62</t>
  </si>
  <si>
    <t>Krug Inc.- 59THTZ3624CBFPGW1F62</t>
  </si>
  <si>
    <t>Krug Inc.- 59THTZ4224CBFPGW1F62</t>
  </si>
  <si>
    <t>Krug Inc.- 59THTZ4824CBFPGW1F62</t>
  </si>
  <si>
    <t>Krug Inc.- 59THTZ5424CBFPGW1F62</t>
  </si>
  <si>
    <t>Krug Inc.- 59THTZ6024CBFPGW1F62</t>
  </si>
  <si>
    <t>Krug Inc.- 59THTZ7224CBFPGW1F62</t>
  </si>
  <si>
    <t>Krug Inc.- 59THTZ3630CBFPGW1F62</t>
  </si>
  <si>
    <t>Krug Inc.- 59THTZ4230CBFPGW1F62</t>
  </si>
  <si>
    <t>Krug Inc.- 59THTZ4830CBFPGW1F62</t>
  </si>
  <si>
    <t>Krug Inc.- 59THTZ5430CBFPGW1F62</t>
  </si>
  <si>
    <t>Krug Inc.- 59THTZ6030CBFPGW1F62</t>
  </si>
  <si>
    <t>Krug Inc.- 59THTZ7230CBFPGW1F62</t>
  </si>
  <si>
    <t>Krug Inc.- 59THRT3624TBFPCW1F62</t>
  </si>
  <si>
    <t>Krug Inc.- 59THRT4224TBFPCW1F62</t>
  </si>
  <si>
    <t>Krug Inc.- 59THRT3630TBFPCW1F62</t>
  </si>
  <si>
    <t>Krug Inc.- 59THRT4230TBFPCW1F62</t>
  </si>
  <si>
    <t>Laminate Flip Top, T-base W/ Glides, Laminate Modesty Panel W/ 59 Power Port (C-Base Can Be Ordered At The Same Price Of T-Base, Change Model Number "TBC" To "CBC")</t>
  </si>
  <si>
    <t>Krug Inc.- 59THRT4824TBFPCW1F62</t>
  </si>
  <si>
    <t>Krug Inc.- 59THRT5424TBFPCW1F62</t>
  </si>
  <si>
    <t>Krug Inc.- 59THRT6024TBFPCW1F62</t>
  </si>
  <si>
    <t>Krug Inc.- 59THRT7224TBFPCW1F62</t>
  </si>
  <si>
    <t>Krug Inc.- 59THRT4830TBFPCW1F62</t>
  </si>
  <si>
    <t>Krug Inc.- 59THRT5430TBFPCW1F62</t>
  </si>
  <si>
    <t>Krug Inc.- 59THRT6030TBFPCW1F62</t>
  </si>
  <si>
    <t>Krug Inc.- 59THRT7230TBFPCW1F62</t>
  </si>
  <si>
    <t>Krug Inc.- 59THRT7230TBFPGW1F62</t>
  </si>
  <si>
    <t>Krug Inc.- 59THRT6030TBFPGW1F62</t>
  </si>
  <si>
    <t>Krug Inc.- 59THRT5430TBFPGW1F62</t>
  </si>
  <si>
    <t>Krug Inc.- 59THRT4830TBFPGW1F62</t>
  </si>
  <si>
    <t>Krug Inc.- 59THRT4230TBFPGW1F62</t>
  </si>
  <si>
    <t>Krug Inc.- 59THRT3630TBFPGW1F62</t>
  </si>
  <si>
    <t>Krug Inc.- 59THRT7224TBFPGW1F62</t>
  </si>
  <si>
    <t>Krug Inc.- 59THRT6024TBFPGW1F62</t>
  </si>
  <si>
    <t>Krug Inc.- 59THRT5424TBFPGW1F62</t>
  </si>
  <si>
    <t>Krug Inc.- 59THRT4824TBFPGW1F62</t>
  </si>
  <si>
    <t>Krug Inc.- 59THRT4224TBFPGW1F62</t>
  </si>
  <si>
    <t>Krug Inc.- 59THRT3624TBFPGW1F62</t>
  </si>
  <si>
    <t>Laminate Flip Top, C-Base W/ Casters, Laminate Modesty Panel W/ 59 Power Port (T-Base Cannot Be Ordered)</t>
  </si>
  <si>
    <t>Laminate Flip Top, C-Base W/ Glides, Laminate Modesty Panel W/59 Power Port  (T-Base Cannot Be Ordered)</t>
  </si>
  <si>
    <t>Laminate Flip Top, C-Base W/ Glides, Laminate Modesty Panel W/59 Power Port (T-Base Cannot Be Ordered)</t>
  </si>
  <si>
    <t>Laminate Flip Top, C-base W/ Casters, Laminate Modesty Panel W/ 59 Power Port (T-Base Cannot Be Ordered)</t>
  </si>
  <si>
    <t>Laminate Flip Top, C-base W/ Glides, Laminate Modesty Panel W/59 Power Port (T-Base Cannot Be Ordered)</t>
  </si>
  <si>
    <t>Laminate Flip Top, C-base W/ Casters, Laminate Modesty Panel W/ 59 Power Port (T-Base Can Be Ordered At The Same Price Of C-base, Change Model Number "CBC" To "TBC")</t>
  </si>
  <si>
    <t>Laminate Flip Top, C-base W/ Glides, Laminate Modesty Panel W/59 Power Port (T-Base Can Be Ordered At The Same Price Of C-base, Change Model Number "CBG" To "TBG")</t>
  </si>
  <si>
    <t>Half Round Laminate Flip Top, C-Base  W/ Casters, Laminate Modesty Pane, Power &amp; Data</t>
  </si>
  <si>
    <t xml:space="preserve">Half Round Laminate Flip Top, C-Base  W/ Glides, Laminate Modesty Panel, Power &amp;Data </t>
  </si>
  <si>
    <t>6MTRFTHMCL24L48WYYY</t>
  </si>
  <si>
    <t>6MTRFTHMCL24L48WYYN</t>
  </si>
  <si>
    <t>6MTRFTHMCL24L54WYYY</t>
  </si>
  <si>
    <t>6MTRFTHMCL24L54WYYN</t>
  </si>
  <si>
    <t>6MTRFTHMCL24L60WYYY</t>
  </si>
  <si>
    <t>6MTRFTHMCL24L60WYYN</t>
  </si>
  <si>
    <t>6MTRFTHMCL24L72WYYY</t>
  </si>
  <si>
    <t>6MTRFTHMCL24L72WYYN</t>
  </si>
  <si>
    <t>6MTRFTHMCL30L36WYYY</t>
  </si>
  <si>
    <t>6MTRFTHMCL30L36WYYN</t>
  </si>
  <si>
    <t>6MTRFTHMCL30L42WYYY</t>
  </si>
  <si>
    <t>6MTRFTHMCL30L42WYYN</t>
  </si>
  <si>
    <t>6MTRFTHMCL30L48WYYY</t>
  </si>
  <si>
    <t>6MTRFTHMCL30L48WYYN</t>
  </si>
  <si>
    <t>6MTRFTHMCL30L54WYYY</t>
  </si>
  <si>
    <t>6MTRFTHMCL30L54WYYN</t>
  </si>
  <si>
    <t>6MTRFTHMCL30L60WYYY</t>
  </si>
  <si>
    <t>6MTRFTHMCL30L60WYYN</t>
  </si>
  <si>
    <t>6MTRFTHMCL30L72WYYY</t>
  </si>
  <si>
    <t>6MTRFTHMCL30L72WYYN</t>
  </si>
  <si>
    <t>Krug Inc.- 59THDH4824CBFPCW1F62</t>
  </si>
  <si>
    <t>Krug Inc.- 59THDH5424CBFPCW1F62</t>
  </si>
  <si>
    <t>Krug Inc.- 59THDH6024CBFPCW1F62</t>
  </si>
  <si>
    <t>Krug Inc.- 59THDH7224CBFPCW1F62</t>
  </si>
  <si>
    <t>Krug Inc.- 59THDH3630CBFPCW1F62</t>
  </si>
  <si>
    <t>Krug Inc.- 59THDH4230CBFPCW1F62</t>
  </si>
  <si>
    <t>Krug Inc.- 59THDH4830CBFPCW1F62</t>
  </si>
  <si>
    <t>Krug Inc.- 59THDH5430CBFPCW1F62</t>
  </si>
  <si>
    <t>Krug Inc.- 59THDH6030CBFPCW1F62</t>
  </si>
  <si>
    <t>Krug Inc.- 59THDH7230CBFPCW1F62</t>
  </si>
  <si>
    <t>Krug Inc.- 59THDH4824CBFPGW1F62</t>
  </si>
  <si>
    <t>Krug Inc.- 59THDH5424CBFPGW1F62</t>
  </si>
  <si>
    <t>Krug Inc.- 59THDH6024CBFPGW1F62</t>
  </si>
  <si>
    <t>Krug Inc.- 59THDH7224CBFPGW1F62</t>
  </si>
  <si>
    <t>Krug Inc.- 59THDH3630CBFPGW1F62</t>
  </si>
  <si>
    <t>Krug Inc.- 59THDH4230CBFPGW1F62</t>
  </si>
  <si>
    <t>Krug Inc.- 59THDH4830CBFPGW1F62</t>
  </si>
  <si>
    <t>Krug Inc.- 59THDH5430CBFPGW1F62</t>
  </si>
  <si>
    <t>Krug Inc.- 59THDH6030CBFPGW1F62</t>
  </si>
  <si>
    <t>Krug Inc.- 59THDH7230CBFPGW1F62</t>
  </si>
  <si>
    <t>Krug Inc.- 61THRV120-42- X23 Ganging</t>
  </si>
  <si>
    <t>Krug Inc.- 61THRV126-42- X23 Ganging</t>
  </si>
  <si>
    <t>Krug Inc.- 61THRV132-42- X23 Ganging</t>
  </si>
  <si>
    <t>Krug Inc.- 61THRV138-42- X23 Ganging</t>
  </si>
  <si>
    <t>Krug Inc.- 61THRV144-42- X23 Ganging</t>
  </si>
  <si>
    <t>Krug Inc.- 61THRV150-42- X23 Ganging</t>
  </si>
  <si>
    <t>Krug Inc.- 61THRV156-42- X23 Ganging</t>
  </si>
  <si>
    <t>Krug Inc.- 61THRV162-42- X23 Ganging</t>
  </si>
  <si>
    <t>Krug Inc.- 61THRV168-42- X23 Ganging</t>
  </si>
  <si>
    <t>Krug Inc.- 61THRV174-42- X23 Ganging</t>
  </si>
  <si>
    <t>Krug Inc.- 61THRV180-42- X23 Ganging</t>
  </si>
  <si>
    <t>Krug Inc.- 61THRV186-42- X23 Ganging</t>
  </si>
  <si>
    <t>Krug Inc.- 61THRV192-42- X23 Ganging</t>
  </si>
  <si>
    <t>Krug Inc.- 61THRV120-48- X23 Ganging</t>
  </si>
  <si>
    <t>Krug Inc.- 61THRV126-48- X23 Ganging</t>
  </si>
  <si>
    <t>Krug Inc.- 61THRV132-48- X23 Ganging</t>
  </si>
  <si>
    <t>Krug Inc.- 61THRV138-48- X23 Ganging</t>
  </si>
  <si>
    <t>Krug Inc.- 61THRV144-48- X23 Ganging</t>
  </si>
  <si>
    <t>Krug Inc.- 61THRV150-48- X23 Ganging</t>
  </si>
  <si>
    <t>Krug Inc.- 61THRV156-48- X23 Ganging</t>
  </si>
  <si>
    <t>Krug Inc.- 61THRV162-48- X23 Ganging</t>
  </si>
  <si>
    <t>Krug Inc.- 61THRV168-48- X23 Ganging</t>
  </si>
  <si>
    <t>Krug Inc.- 61THRV174-48- X23 Ganging</t>
  </si>
  <si>
    <t>Krug Inc.- 61THRV180-48- X23 Ganging</t>
  </si>
  <si>
    <t>Krug Inc.- 61THRV186-48- X23 Ganging</t>
  </si>
  <si>
    <t>Krug Inc.- 61THRV192-48- X23 Ganging</t>
  </si>
  <si>
    <t>Krug Inc.- 61THRV120-54- X23 Ganging</t>
  </si>
  <si>
    <t>Krug Inc.- 61THRV126-54- X23 Ganging</t>
  </si>
  <si>
    <t>Krug Inc.- 61THRV132-54- X23 Ganging</t>
  </si>
  <si>
    <t>Krug Inc.- 61THRV138-54- X23 Ganging</t>
  </si>
  <si>
    <t>Krug Inc.- 61THRV144-54- X23 Ganging</t>
  </si>
  <si>
    <t>Krug Inc.- 61THRV150-54- X23 Ganging</t>
  </si>
  <si>
    <t>Krug Inc.- 61THRV156-54- X23 Ganging</t>
  </si>
  <si>
    <t>Krug Inc.- 61THRV162-54- X23 Ganging</t>
  </si>
  <si>
    <t>Krug Inc.- 61THRV168-54- X23 Ganging</t>
  </si>
  <si>
    <t>Krug Inc.- 61THRV174-54- X23 Ganging</t>
  </si>
  <si>
    <t>Krug Inc.- 61THRV180-54- X23 Ganging</t>
  </si>
  <si>
    <t>Krug Inc.- 61THRV186-54- X23 Ganging</t>
  </si>
  <si>
    <t>Krug Inc.- 61THRV192-54- X23 Ganging</t>
  </si>
  <si>
    <t>Krug Inc.- 61THRV120-60- X23 Ganging</t>
  </si>
  <si>
    <t>Krug Inc.- 61THRV126-60- X23 Ganging</t>
  </si>
  <si>
    <t>Krug Inc.- 61THRV132-60- X23 Ganging</t>
  </si>
  <si>
    <t>Krug Inc.- 61THRV138-60- X23 Ganging</t>
  </si>
  <si>
    <t>Krug Inc.- 61THRV144-60- X23 Ganging</t>
  </si>
  <si>
    <t>Krug Inc.- 61THRV150-60- X23 Ganging</t>
  </si>
  <si>
    <t>Krug Inc.- 61THRV156-60- X23 Ganging</t>
  </si>
  <si>
    <t>Krug Inc.- 61THRV162-60- X23 Ganging</t>
  </si>
  <si>
    <t>Krug Inc.- 61THRV168-60- X23 Ganging</t>
  </si>
  <si>
    <t>Krug Inc.- 61THRV174-60- X23 Ganging</t>
  </si>
  <si>
    <t>Krug Inc.- 61THRV180-60- X23 Ganging</t>
  </si>
  <si>
    <t>Krug Inc.- 61THRV186-60- X23 Ganging</t>
  </si>
  <si>
    <t>Krug Inc.- 61THRV192-60- X23 Ganging</t>
  </si>
  <si>
    <t>Krug Inc.- 59THRV-142TBF62 Ganging</t>
  </si>
  <si>
    <t>6MVCGNVSLL42120WYYX</t>
  </si>
  <si>
    <t>6MVCGNVSLL42126WYYX</t>
  </si>
  <si>
    <t>6MVCGNVSLL42132WYYX</t>
  </si>
  <si>
    <t>6MVCGNVSLL42138WYYX</t>
  </si>
  <si>
    <t>6MVCGNVSLL42144WYYX</t>
  </si>
  <si>
    <t>6MVCGNVSLL42150WYYX</t>
  </si>
  <si>
    <t>6MVCGNVSLL42156WYYX</t>
  </si>
  <si>
    <t>6MVCGNVSLL42162WYYX</t>
  </si>
  <si>
    <t>6MVCGNVSLL42168WYYX</t>
  </si>
  <si>
    <t>6MVCGNVSLL42174WYYX</t>
  </si>
  <si>
    <t>6MVCGNVSLL42180WYYX</t>
  </si>
  <si>
    <t>6MVCGNVSLL42186WYYX</t>
  </si>
  <si>
    <t>6MVCGNVSLL42192WYYX</t>
  </si>
  <si>
    <t>6MVCGNVSLL48120WYYX</t>
  </si>
  <si>
    <t>6MVCGNVSLL48126WYYX</t>
  </si>
  <si>
    <t>6MVCGNVSLL48132WYYX</t>
  </si>
  <si>
    <t>6MVCGNVSLL48138WYYX</t>
  </si>
  <si>
    <t>6MVCGNVSLL48144WYYX</t>
  </si>
  <si>
    <t>6MVCGNVSLL48150WYYX</t>
  </si>
  <si>
    <t>6MVCGNVSLL48156WYYX</t>
  </si>
  <si>
    <t>6MVCGNVSLL48162WYYX</t>
  </si>
  <si>
    <t>6MVCGNVSLL48168WYYX</t>
  </si>
  <si>
    <t>6MVCGNVSLL48174WYYX</t>
  </si>
  <si>
    <t>6MVCGNVSLL48180WYYX</t>
  </si>
  <si>
    <t>6MVCGNVSLL48186WYYX</t>
  </si>
  <si>
    <t>6MVCGNVSLL48192WYYX</t>
  </si>
  <si>
    <t>6MVCGNVSLL54120WYYX</t>
  </si>
  <si>
    <t>6MVCGNVSLL54126WYYX</t>
  </si>
  <si>
    <t>6MVCGNVSLL54132WYYX</t>
  </si>
  <si>
    <t>6MVCGNVSLL54138WYYX</t>
  </si>
  <si>
    <t>6MVCGNVSLL54144WYYX</t>
  </si>
  <si>
    <t>6MVCGNVSLL54150WYYX</t>
  </si>
  <si>
    <t>6MVCGNVSLL54156WYYX</t>
  </si>
  <si>
    <t>6MVCGNVSLL54162WYYX</t>
  </si>
  <si>
    <t>6MVCGNVSLL54168WYYX</t>
  </si>
  <si>
    <t>6MVCGNVSLL54174WYYX</t>
  </si>
  <si>
    <t>6MVCGNVSLL54180WYYX</t>
  </si>
  <si>
    <t>6MVCGNVSLL54186WYYX</t>
  </si>
  <si>
    <t>6MVCGNVSLL54192WYYX</t>
  </si>
  <si>
    <t>6MVCGNVSLL60120WYYX</t>
  </si>
  <si>
    <t>6MVCGNVSLL60126WYYX</t>
  </si>
  <si>
    <t>6MVCGNVSLL60132WYYX</t>
  </si>
  <si>
    <t>6MVCGNVSLL60138WYYX</t>
  </si>
  <si>
    <t>6MVCGNVSLL60144WYYX</t>
  </si>
  <si>
    <t>6MVCGNVSLL60150WYYX</t>
  </si>
  <si>
    <t>6MVCGNVSLL60156WYYX</t>
  </si>
  <si>
    <t>6MVCGNVSLL60162WYYX</t>
  </si>
  <si>
    <t>6MVCGNVSLL60168WYYX</t>
  </si>
  <si>
    <t>6MVCGNVSLL60174WYYX</t>
  </si>
  <si>
    <t>6MVCGNVSLL60180WYYX</t>
  </si>
  <si>
    <t>6MVCGNVSLL60186WYYX</t>
  </si>
  <si>
    <t>6MVCGNVSLL60192WYYX</t>
  </si>
  <si>
    <t>6MVCGNVSCL42120WYYX</t>
  </si>
  <si>
    <t>6MVCGNVSCL42126WYYX</t>
  </si>
  <si>
    <t>6MVCGNVSCL42132WYYX</t>
  </si>
  <si>
    <t>6MVCGNVSCL42138WYYX</t>
  </si>
  <si>
    <t>6MVCGNVSCL42144WYYX</t>
  </si>
  <si>
    <t>6MVCGNVSCL42150WYYX</t>
  </si>
  <si>
    <t>6MVCGNVSCL42156WYYX</t>
  </si>
  <si>
    <t>6MVCGNVSCL42162WYYX</t>
  </si>
  <si>
    <t>6MVCGNVSCL42168WYYX</t>
  </si>
  <si>
    <t>6MVCGNVSCL42174WYYX</t>
  </si>
  <si>
    <t>6MVCGNVSCL42180WYYX</t>
  </si>
  <si>
    <t>6MVCGNVSCL42186WYYX</t>
  </si>
  <si>
    <t>6MVCGNVSCL42192WYYX</t>
  </si>
  <si>
    <t>6MVCGNVSCL48120WYYX</t>
  </si>
  <si>
    <t>6MVCGNVSCL48126WYYX</t>
  </si>
  <si>
    <t>6MVCGNVSCL48132WYYX</t>
  </si>
  <si>
    <t>6MVCGNVSCL48138WYYX</t>
  </si>
  <si>
    <t>6MVCGNVSCL48144WYYX</t>
  </si>
  <si>
    <t>6MVCGNVSCL48150WYYX</t>
  </si>
  <si>
    <t>6MVCGNVSCL48156WYYX</t>
  </si>
  <si>
    <t>6MVCGNVSCL48162WYYX</t>
  </si>
  <si>
    <t>6MVCGNVSCL48168WYYX</t>
  </si>
  <si>
    <t>6MVCGNVSCL48174WYYX</t>
  </si>
  <si>
    <t>6MVCGNVSCL48180WYYX</t>
  </si>
  <si>
    <t>6MVCGNVSCL48186WYYX</t>
  </si>
  <si>
    <t>6MVCGNVSCL48192WYYX</t>
  </si>
  <si>
    <t>6MVCGNVSCL54120WYYX</t>
  </si>
  <si>
    <t>6MVCGNVSCL54126WYYX</t>
  </si>
  <si>
    <t>6MVCGNVSCL54132WYYX</t>
  </si>
  <si>
    <t>6MVCGNVSCL54138WYYX</t>
  </si>
  <si>
    <t>6MVCGNVSCL54144WYYX</t>
  </si>
  <si>
    <t>6MVCGNVSCL54150WYYX</t>
  </si>
  <si>
    <t>6MVCGNVSCL54156WYYX</t>
  </si>
  <si>
    <t>6MVCGNVSCL54162WYYX</t>
  </si>
  <si>
    <t>6MVCGNVSCL54168WYYX</t>
  </si>
  <si>
    <t>6MVCGNVSCL54174WYYX</t>
  </si>
  <si>
    <t>6MVCGNVSCL54180WYYX</t>
  </si>
  <si>
    <t>6MVCGNVSCL54186WYYX</t>
  </si>
  <si>
    <t>6MVCGNVSCL54192WYYX</t>
  </si>
  <si>
    <t>6MVCGNVSCL60120WYYX</t>
  </si>
  <si>
    <t>6MVCGNVSCL60126WYYX</t>
  </si>
  <si>
    <t>6MVCGNVSCL60132WYYX</t>
  </si>
  <si>
    <t>6MVCGNVSCL60138WYYX</t>
  </si>
  <si>
    <t>6MVCGNVSCL60144WYYX</t>
  </si>
  <si>
    <t>6MVCGNVSCL60150WYYX</t>
  </si>
  <si>
    <t>6MVCGNVSCL60156WYYX</t>
  </si>
  <si>
    <t>6MVCGNVSCL60162WYYX</t>
  </si>
  <si>
    <t>6MVCGNVSCL60168WYYX</t>
  </si>
  <si>
    <t>6MVCGNVSCL60174WYYX</t>
  </si>
  <si>
    <t>6MVCGNVSCL60180WYYX</t>
  </si>
  <si>
    <t>6MVCGNVSCL60186WYYX</t>
  </si>
  <si>
    <t>6MVCGNVSCL60192WYYX</t>
  </si>
  <si>
    <t>Open Visio Laminate Table, Ganged W/ Legs, Laminate Modesty Panel , Power &amp; Data, Ganging Hardware</t>
  </si>
  <si>
    <t>Krug Inc.- 59THRV-142TBGW1F62- Ganging</t>
  </si>
  <si>
    <t>Krug Inc.- 59THRV-1342TBGW1F62-Ganging</t>
  </si>
  <si>
    <t>Krug Inc.- 59THRV-13842TBGW1F62 Ganging</t>
  </si>
  <si>
    <t>Krug Inc.- 59THRV-14442TBGW1F62 Ganging</t>
  </si>
  <si>
    <t>Krug Inc.- 59THRV-15042TBGW1F62 Ganging</t>
  </si>
  <si>
    <t>Krug Inc.- 59THRV-15642TBGW1F62 Ganging</t>
  </si>
  <si>
    <t>Krug Inc.- 59THRV-1642TBGW1F62 Ganging</t>
  </si>
  <si>
    <t>Krug Inc.- 59THRV-16842TBGW1F62 Ganging</t>
  </si>
  <si>
    <t>Krug Inc.- 59THRV-17442TBGW1F62 Ganging</t>
  </si>
  <si>
    <t>Krug Inc.- 59THRV-18042TBGW1F62 Ganging</t>
  </si>
  <si>
    <t>Krug Inc.- 59THRV-18642TBGW1F62 Ganging</t>
  </si>
  <si>
    <t>Krug Inc.- 59THRV-1942TBGW1F62 Ganging</t>
  </si>
  <si>
    <t>Krug Inc.- 59THRV-148TBGW1F62 Ganging</t>
  </si>
  <si>
    <t>Krug Inc.- 59THRV-1348TBGW1F62 Ganging</t>
  </si>
  <si>
    <t>Krug Inc.- 59THRV-13848TBGW1F62 Ganging</t>
  </si>
  <si>
    <t>Krug Inc.- 59THRV-14448TBGW1F62 Ganging</t>
  </si>
  <si>
    <t>Krug Inc.- 59THRV-15048TBGW1F62Ganging</t>
  </si>
  <si>
    <t>Krug Inc.- 59THRV-15648TBGW1F62 Ganging</t>
  </si>
  <si>
    <t>Krug Inc.- 59THRV-1648TBGW1F62 Ganging</t>
  </si>
  <si>
    <t>Krug Inc.- 59THRV-16848TBGW1F62 Ganging</t>
  </si>
  <si>
    <t>Krug Inc.- 59THRV-17448TBGW1F62 Ganging</t>
  </si>
  <si>
    <t>Krug Inc.- 59THRV-18048TBGW1F62 Ganging</t>
  </si>
  <si>
    <t>Krug Inc.- 59THRV-18648TBGW1F62 Ganging</t>
  </si>
  <si>
    <t>Krug Inc.- 59THRV-19248TBGW1F62 Ganging</t>
  </si>
  <si>
    <t>Krug Inc.- 59THRV-12054TBGW1F62 Ganging</t>
  </si>
  <si>
    <t>Krug Inc.- 59THRV-12654TBGW1F62 Ganging</t>
  </si>
  <si>
    <t>Krug Inc.- 59THRV-13254TBGW1F62  Ganging</t>
  </si>
  <si>
    <t>Krug Inc.- 59THRV-13854TBGW1F62  Ganging</t>
  </si>
  <si>
    <t>Krug Inc.- 59THRV-14454TBGW1F62 Ganging</t>
  </si>
  <si>
    <t>Krug Inc.- 59THRV-15054TBGW1F62 Ganging</t>
  </si>
  <si>
    <t>Krug Inc.- 59THRV-15654TBGW1F62 Ganging</t>
  </si>
  <si>
    <t>Krug Inc.- 59THRV-16254TBGW1F62 Ganging</t>
  </si>
  <si>
    <t>Krug Inc.- 59THRV-16854TBGW1F62 Ganging</t>
  </si>
  <si>
    <t>Krug Inc.- 59THRV-17454TBGW1F62 Ganging</t>
  </si>
  <si>
    <t>Krug Inc.- 59THRV-18054TBGW1F62 Ganging</t>
  </si>
  <si>
    <t>Krug Inc.- 59THRV-18654TBGW1F62  Ganging</t>
  </si>
  <si>
    <t>Krug Inc.- 59THRV-19254TBGW1F62 Ganging</t>
  </si>
  <si>
    <t>Krug Inc.- 59THRV-12060TBGW1F62 Ganging</t>
  </si>
  <si>
    <t>Krug Inc.- 59THRV-12660TBGW1F62 Ganging</t>
  </si>
  <si>
    <t>Krug Inc.- 59THRV-13260TBGW1F62 Ganging</t>
  </si>
  <si>
    <t>Krug Inc.- 59THRV-13860TBGW1F62 Ganging</t>
  </si>
  <si>
    <t>Krug Inc.- 59THRV-14460TBGW1F62 Ganging</t>
  </si>
  <si>
    <t>Krug Inc.- 59THRV-15060TBGW1F62 Ganging</t>
  </si>
  <si>
    <t>Krug Inc.- 59THRV-15660TBGW1F62 Ganging</t>
  </si>
  <si>
    <t>Krug Inc.- 59THRV-16260TBGW1F62 Ganging</t>
  </si>
  <si>
    <t>Krug Inc.- 59THRV-16860TBGW1F62 Ganging</t>
  </si>
  <si>
    <t>Krug Inc.- 59THRV-17460TBGW1F62 Ganging</t>
  </si>
  <si>
    <t>Krug Inc.- 59THRV-18060TBGW1F62 Ganging</t>
  </si>
  <si>
    <t>Krug Inc.- 59THRV-18660TBGW1F62 Ganging</t>
  </si>
  <si>
    <t>Krug Inc.- 59THRV-19260TBGW1F62 Ganging</t>
  </si>
  <si>
    <t>Open Visio Laminate Table, Ganged W/ T Base, Laminate Modesty Panel , Power &amp; Data, Ganging Hardware</t>
  </si>
  <si>
    <t xml:space="preserve">Laminate Tops, Viso End Table, W/ 4 Rectangular Tables, Ganged As One Open Visio Table, T-Base W/ Glides, Laminate Modesty Panel On Rectangular Tables,(4) 61 Power Ports, Ganging Hardware Included </t>
  </si>
  <si>
    <t xml:space="preserve">Laminate Tops, Viso End Table, W/ 4 Rectangular Tables, Ganged As One Open Visio Table, Legs W/ Glides, Laminate Modesty Panel On Rectangular Tables,(4) 61 Power Ports, Ganging Hardware Included </t>
  </si>
  <si>
    <t xml:space="preserve">Racetrack Laminate Top W/ Panel Bases W/ Power &amp; Data </t>
  </si>
  <si>
    <t>Krug Inc.- 51581204236</t>
  </si>
  <si>
    <t>Krug Inc.- 51581264236</t>
  </si>
  <si>
    <t>Krug Inc.- 51581324236</t>
  </si>
  <si>
    <t>Krug Inc.- 51581384236</t>
  </si>
  <si>
    <t>Krug Inc.- 51581444236</t>
  </si>
  <si>
    <t>Krug Inc.- 51581504236</t>
  </si>
  <si>
    <t>Krug Inc.- 51581564236</t>
  </si>
  <si>
    <t>Krug Inc.- 51581624236</t>
  </si>
  <si>
    <t>Krug Inc.- 51581684236</t>
  </si>
  <si>
    <t>Krug Inc.- 51581744236</t>
  </si>
  <si>
    <t>Krug Inc.- 51581804236</t>
  </si>
  <si>
    <t>Krug Inc.- 51581864236</t>
  </si>
  <si>
    <t>Krug Inc.- 51581924236</t>
  </si>
  <si>
    <t>Krug Inc.- 51581204836</t>
  </si>
  <si>
    <t>Krug Inc.- 51581264836</t>
  </si>
  <si>
    <t>Krug Inc.- 51581324836</t>
  </si>
  <si>
    <t>Krug Inc.- 51581384836</t>
  </si>
  <si>
    <t>Krug Inc.- 51581444836</t>
  </si>
  <si>
    <t>Krug Inc.- 51581504836</t>
  </si>
  <si>
    <t>Krug Inc.- 51581564836</t>
  </si>
  <si>
    <t>Krug Inc.- 51581624836</t>
  </si>
  <si>
    <t>Krug Inc.- 51581684836</t>
  </si>
  <si>
    <t>Krug Inc.- 51581744836</t>
  </si>
  <si>
    <t>Krug Inc.- 51581804836</t>
  </si>
  <si>
    <t>Krug Inc.- 51581864836</t>
  </si>
  <si>
    <t>Krug Inc.- 51581924836</t>
  </si>
  <si>
    <t>Krug Inc.- 51581205436</t>
  </si>
  <si>
    <t>Krug Inc.- 51581265436</t>
  </si>
  <si>
    <t>Krug Inc.- 51581325436</t>
  </si>
  <si>
    <t>Krug Inc.- 51581385436</t>
  </si>
  <si>
    <t>Krug Inc.- 51581445436</t>
  </si>
  <si>
    <t>Krug Inc.- 51581505436</t>
  </si>
  <si>
    <t>Krug Inc.- 51581565436</t>
  </si>
  <si>
    <t>Krug Inc.- 51581625436</t>
  </si>
  <si>
    <t>Krug Inc.- 51581685436</t>
  </si>
  <si>
    <t>Krug Inc.- 51581742536</t>
  </si>
  <si>
    <t>Krug Inc.- 51581805436</t>
  </si>
  <si>
    <t>Krug Inc.- 51581865436</t>
  </si>
  <si>
    <t>Krug Inc.- 51581925436</t>
  </si>
  <si>
    <t>Krug Inc.- 51581206042</t>
  </si>
  <si>
    <t>Krug Inc.- 51581266042</t>
  </si>
  <si>
    <t>Krug Inc.- 51581326042</t>
  </si>
  <si>
    <t>Krug Inc.- 51581386042</t>
  </si>
  <si>
    <t>Krug Inc.- 51581446042</t>
  </si>
  <si>
    <t>Krug Inc.- 51581506042</t>
  </si>
  <si>
    <t>Krug Inc.- 51581566042</t>
  </si>
  <si>
    <t>Krug Inc.- 51581626042</t>
  </si>
  <si>
    <t>Krug Inc.- 51581686042</t>
  </si>
  <si>
    <t>Krug Inc.- 51581746042</t>
  </si>
  <si>
    <t>Krug Inc.- 51581806042</t>
  </si>
  <si>
    <t>Krug Inc.- 51581866042</t>
  </si>
  <si>
    <t>Krug Inc.- 51581926042</t>
  </si>
  <si>
    <t>6MVCSNVSGL42120WYYX</t>
  </si>
  <si>
    <t>6MVCSNVSGL42126WYYX</t>
  </si>
  <si>
    <t>6MVCSNVSGL42132WYYX</t>
  </si>
  <si>
    <t>6MVCSNVSGL42138WYYX</t>
  </si>
  <si>
    <t>6MVCSNVSGL42144WYYX</t>
  </si>
  <si>
    <t>6MVCSNVSGL42150WYYX</t>
  </si>
  <si>
    <t>6MVCSNVSGL42156WYYX</t>
  </si>
  <si>
    <t>6MVCSNVSGL42162WYYX</t>
  </si>
  <si>
    <t>6MVCSNVSGL42168WYYX</t>
  </si>
  <si>
    <t>6MVCSNVSGL42174WYYX</t>
  </si>
  <si>
    <t>6MVCSNVSGL42180WYYX</t>
  </si>
  <si>
    <t>6MVCSNVSGL42186WYYX</t>
  </si>
  <si>
    <t>6MVCSNVSGL42192WYYX</t>
  </si>
  <si>
    <t>6MVCSNVSGL48120WYYX</t>
  </si>
  <si>
    <t>6MVCSNVSGL48126WYYX</t>
  </si>
  <si>
    <t>6MVCSNVSGL48132WYYX</t>
  </si>
  <si>
    <t>6MVCSNVSGL48138WYYX</t>
  </si>
  <si>
    <t>6MVCSNVSGL48144WYYX</t>
  </si>
  <si>
    <t>6MVCSNVSGL48150WYYX</t>
  </si>
  <si>
    <t>6MVCSNVSGL48156WYYX</t>
  </si>
  <si>
    <t>6MVCSNVSGL48162WYYX</t>
  </si>
  <si>
    <t>6MVCSNVSGL48168WYYX</t>
  </si>
  <si>
    <t>6MVCSNVSGL48174WYYX</t>
  </si>
  <si>
    <t>6MVCSNVSGL48180WYYX</t>
  </si>
  <si>
    <t>6MVCSNVSGL48186WYYX</t>
  </si>
  <si>
    <t>6MVCSNVSGL48192WYYX</t>
  </si>
  <si>
    <t>6MVCSNVSGL54120WYYX</t>
  </si>
  <si>
    <t>6MVCSNVSGL54126WYYX</t>
  </si>
  <si>
    <t>6MVCSNVSGL54132WYYX</t>
  </si>
  <si>
    <t>6MVCSNVSGL54138WYYX</t>
  </si>
  <si>
    <t>6MVCSNVSGL54144WYYX</t>
  </si>
  <si>
    <t>6MVCSNVSGL54150WYYX</t>
  </si>
  <si>
    <t>6MVCSNVSGL54156WYYX</t>
  </si>
  <si>
    <t>6MVCSNVSGL54162WYYX</t>
  </si>
  <si>
    <t>6MVCSNVSGL54168WYYX</t>
  </si>
  <si>
    <t>6MVCSNVSGL54174WYYX</t>
  </si>
  <si>
    <t>6MVCSNVSGL54180WYYX</t>
  </si>
  <si>
    <t>6MVCSNVSGL54186WYYX</t>
  </si>
  <si>
    <t>6MVCSNVSGL54192WYYX</t>
  </si>
  <si>
    <t>6MVCSNVSGL60120WYYX</t>
  </si>
  <si>
    <t>6MVCSNVSGL60126WYYX</t>
  </si>
  <si>
    <t>6MVCSNVSGL60132WYYX</t>
  </si>
  <si>
    <t>6MVCSNVSGL60138WYYX</t>
  </si>
  <si>
    <t>6MVCSNVSGL60144WYYX</t>
  </si>
  <si>
    <t>6MVCSNVSGL60150WYYX</t>
  </si>
  <si>
    <t>6MVCSNVSGL60156WYYX</t>
  </si>
  <si>
    <t>6MVCSNVSGL60162WYYX</t>
  </si>
  <si>
    <t>6MVCSNVSGL60168WYYX</t>
  </si>
  <si>
    <t>6MVCSNVSGL60174WYYX</t>
  </si>
  <si>
    <t>6MVCSNVSGL60180WYYX</t>
  </si>
  <si>
    <t>6MVCSNVSGL60186WYYX</t>
  </si>
  <si>
    <t>6MVCSNVSGL60192WYYX</t>
  </si>
  <si>
    <t>120x48x36</t>
  </si>
  <si>
    <t>126x48x36</t>
  </si>
  <si>
    <t>132x48x36</t>
  </si>
  <si>
    <t>138x48x36</t>
  </si>
  <si>
    <t>144x48x36</t>
  </si>
  <si>
    <t>150x48x36</t>
  </si>
  <si>
    <t>156x48x36</t>
  </si>
  <si>
    <t>162x48x36</t>
  </si>
  <si>
    <t>168x48x36</t>
  </si>
  <si>
    <t>174x48x36</t>
  </si>
  <si>
    <t>180x48x36</t>
  </si>
  <si>
    <t>186x48x36</t>
  </si>
  <si>
    <t>192x48x36</t>
  </si>
  <si>
    <t>120x54x36</t>
  </si>
  <si>
    <t>126x54x36</t>
  </si>
  <si>
    <t>132x54x36</t>
  </si>
  <si>
    <t>138x54x36</t>
  </si>
  <si>
    <t>144x54x36</t>
  </si>
  <si>
    <t>150x54x36</t>
  </si>
  <si>
    <t>156x54x36</t>
  </si>
  <si>
    <t>162x54x36</t>
  </si>
  <si>
    <t>168x54x36</t>
  </si>
  <si>
    <t>174x25x36</t>
  </si>
  <si>
    <t>180x54x36</t>
  </si>
  <si>
    <t>186x54x36</t>
  </si>
  <si>
    <t>192x54x36</t>
  </si>
  <si>
    <t>120x60x42</t>
  </si>
  <si>
    <t>126x60x42</t>
  </si>
  <si>
    <t>132x60x42</t>
  </si>
  <si>
    <t>138x60x42</t>
  </si>
  <si>
    <t>144x60x42</t>
  </si>
  <si>
    <t>150x60x42</t>
  </si>
  <si>
    <t>156x60x42</t>
  </si>
  <si>
    <t>162x60x42</t>
  </si>
  <si>
    <t>168x60x42</t>
  </si>
  <si>
    <t>174x60x42</t>
  </si>
  <si>
    <t>180x60x42</t>
  </si>
  <si>
    <t>186x60x42</t>
  </si>
  <si>
    <t>192x60x42</t>
  </si>
  <si>
    <t xml:space="preserve">Closed Visio Laminate Top W/ Panel Bases W/ Power &amp; Data </t>
  </si>
  <si>
    <t xml:space="preserve">Laminate Top/ 2 Bases (1) (513921325) (1) (513925325) + (2) 27" Consoles + 51PDAD03-16 + 51PDC03-16 Standard Laminate </t>
  </si>
  <si>
    <t xml:space="preserve">Laminate Top/ 3 Bases (1) (513921325) (2) (513925325) + (2) 27" Consoles + 51PDAD03-16 + 51PDC03-16 Standard Laminate </t>
  </si>
  <si>
    <t>6MVCSNVSML42120WYYX</t>
  </si>
  <si>
    <t>6MVCSNVSML42126WYYX</t>
  </si>
  <si>
    <t>6MVCSNVSML42132WYYX</t>
  </si>
  <si>
    <t>6MVCSNVSML42138WYYX</t>
  </si>
  <si>
    <t>6MVCSNVSML42144WYYX</t>
  </si>
  <si>
    <t>6MVCSNVSML42150WYYX</t>
  </si>
  <si>
    <t>6MVCSNVSML42156WYYX</t>
  </si>
  <si>
    <t>6MVCSNVSML42162WYYX</t>
  </si>
  <si>
    <t>6MVCSNVSML42168WYYX</t>
  </si>
  <si>
    <t>6MVCSNVSML42174WYYX</t>
  </si>
  <si>
    <t>6MVCSNVSML42180WYYX</t>
  </si>
  <si>
    <t>6MVCSNVSML42186WYYX</t>
  </si>
  <si>
    <t>6MVCSNVSML42192WYYX</t>
  </si>
  <si>
    <t>6MVCSNVSML48120WYYX</t>
  </si>
  <si>
    <t>6MVCSNVSML48126WYYX</t>
  </si>
  <si>
    <t>6MVCSNVSML48132WYYX</t>
  </si>
  <si>
    <t>6MVCSNVSML48138WYYX</t>
  </si>
  <si>
    <t>6MVCSNVSML48144WYYX</t>
  </si>
  <si>
    <t>6MVCSNVSML48150WYYX</t>
  </si>
  <si>
    <t>6MVCSNVSML48156WYYX</t>
  </si>
  <si>
    <t>6MVCSNVSML48162WYYX</t>
  </si>
  <si>
    <t>6MVCSNVSML48168WYYX</t>
  </si>
  <si>
    <t>6MVCSNVSML48174WYYX</t>
  </si>
  <si>
    <t>6MVCSNVSML48180WYYX</t>
  </si>
  <si>
    <t>6MVCSNVSML48186WYYX</t>
  </si>
  <si>
    <t>6MVCSNVSML48192WYYX</t>
  </si>
  <si>
    <t>6MVCSNVSML54120WYYX</t>
  </si>
  <si>
    <t>6MVCSNVSML54126WYYX</t>
  </si>
  <si>
    <t>6MVCSNVSML54132WYYX</t>
  </si>
  <si>
    <t>6MVCSNVSML54138WYYX</t>
  </si>
  <si>
    <t>6MVCSNVSML54144WYYX</t>
  </si>
  <si>
    <t>6MVCSNVSML54150WYYX</t>
  </si>
  <si>
    <t>6MVCSNVSML54156WYYX</t>
  </si>
  <si>
    <t>6MVCSNVSML54162WYYX</t>
  </si>
  <si>
    <t>6MVCSNVSML54168WYYX</t>
  </si>
  <si>
    <t>6MVCSNVSML54174WYYX</t>
  </si>
  <si>
    <t>6MVCSNVSML54180WYYX</t>
  </si>
  <si>
    <t>6MVCSNVSML54186WYYX</t>
  </si>
  <si>
    <t>6MVCSNVSML54192WYYX</t>
  </si>
  <si>
    <t>6MVCSNVSML60120WYYX</t>
  </si>
  <si>
    <t>6MVCSNVSML60126WYYX</t>
  </si>
  <si>
    <t>6MVCSNVSML60132WYYX</t>
  </si>
  <si>
    <t>6MVCSNVSML60138WYYX</t>
  </si>
  <si>
    <t>6MVCSNVSML60144WYYX</t>
  </si>
  <si>
    <t>6MVCSNVSML60150WYYX</t>
  </si>
  <si>
    <t>6MVCSNVSML60156WYYX</t>
  </si>
  <si>
    <t>6MVCSNVSML60162WYYX</t>
  </si>
  <si>
    <t>6MVCSNVSML60168WYYX</t>
  </si>
  <si>
    <t>6MVCSNVSML60174WYYX</t>
  </si>
  <si>
    <t>6MVCSNVSML60180WYYX</t>
  </si>
  <si>
    <t>6MVCSNVSML60186WYYX</t>
  </si>
  <si>
    <t>6MVCSNVSML60192WYYX</t>
  </si>
  <si>
    <t xml:space="preserve">Closed Visio Laminate Top W/ Square Bases W/ Power &amp; Data </t>
  </si>
  <si>
    <t xml:space="preserve">Laminate Top/ 2 Bases (5143202025) + (2) 27" Consoles + 51PDAD03-16 + 51PDC03-16 Standard Laminate </t>
  </si>
  <si>
    <t xml:space="preserve">Laminate Top/ 3 Bases (5143202025) + (2) 27" Consoles + 51PDAD03-16 + 51PDC03-16 Standard Laminate </t>
  </si>
  <si>
    <t xml:space="preserve">Laminate Top/ 2 Bases (1) (5143202025) (1) (5143242425) + (2) 27" Consoles + 51PDAD03-16 + 51PDC03-16 Standard Laminate </t>
  </si>
  <si>
    <t xml:space="preserve">Laminate Top/ 3 Bases (1) (5143202025) (2) (5143242425) + (2) 27" Consoles + 51PDAD03-16 + 51PDC03-16 Standard Laminate </t>
  </si>
  <si>
    <t>6ZFHLXX24L60HSSSDKX</t>
  </si>
  <si>
    <t>6ZFHLXX24L60HSDSSKX</t>
  </si>
  <si>
    <t>6ZFHLXX24L60HSDSDKX</t>
  </si>
  <si>
    <t>6ZFHLXX24L66HSSSSKX</t>
  </si>
  <si>
    <t>6ZFHLXX24L66HSSSDKX</t>
  </si>
  <si>
    <t>6ZFHLXX24L66HSDSSKX</t>
  </si>
  <si>
    <t>6ZFHLXX24L66HSDSDKX</t>
  </si>
  <si>
    <t>6ZFHLXX24L72HSSSSKX</t>
  </si>
  <si>
    <t>6ZFHLXX24L72HSSSDKX</t>
  </si>
  <si>
    <t>6ZFHLXX24L72HSDSSKX</t>
  </si>
  <si>
    <t>6ZFHLXX24L72HSDSDKX</t>
  </si>
  <si>
    <t>Laminate BC Open/Open</t>
  </si>
  <si>
    <t>Laminate BC Close/Open</t>
  </si>
  <si>
    <t>Laminate BC Open/Close</t>
  </si>
  <si>
    <t>Laminate BC Close/Close</t>
  </si>
  <si>
    <t xml:space="preserve">Standard Laminate </t>
  </si>
  <si>
    <t>Standard Laminate - Lock On Door</t>
  </si>
  <si>
    <t>Standard Laminate - Lock On Door's</t>
  </si>
  <si>
    <t>42x20</t>
  </si>
  <si>
    <t>48x20</t>
  </si>
  <si>
    <t>54x20</t>
  </si>
  <si>
    <t>6ZFHLXX20L42HSSSSKX</t>
  </si>
  <si>
    <t>6ZFHLXX20L42HSSSDKX</t>
  </si>
  <si>
    <t>6ZFHLXX20L42HSDSSKX</t>
  </si>
  <si>
    <t>6ZFHLXX20L42HSDSDKX</t>
  </si>
  <si>
    <t>6ZFHLXX20L48HSSSSKX</t>
  </si>
  <si>
    <t>6ZFHLXX20L48HSSSDKX</t>
  </si>
  <si>
    <t>6ZFHLXX20L48HSDSSKX</t>
  </si>
  <si>
    <t>6ZFHLXX20L48HSDSDKX</t>
  </si>
  <si>
    <t>6ZFHLXX20L54HSSSSKX</t>
  </si>
  <si>
    <t>6ZFHLXX20L54HSSSDKX</t>
  </si>
  <si>
    <t>6ZFHLXX20L54HSDSSKX</t>
  </si>
  <si>
    <t>6ZFHLXX20L54HSDSDKX</t>
  </si>
  <si>
    <t>6ZFHLXX20L60HSSSSKX</t>
  </si>
  <si>
    <t>6ZFHLXX18L42HSSSSKX</t>
  </si>
  <si>
    <t>6ZFHLXX18L42HSSSDKX</t>
  </si>
  <si>
    <t>6ZFHLXX18L42HSDSSKX</t>
  </si>
  <si>
    <t>6ZFHLXX18L42HSDSDKX</t>
  </si>
  <si>
    <t>6ZFHLXX18L48HSSSSKX</t>
  </si>
  <si>
    <t>6ZFHLXX18L48HSSSDKX</t>
  </si>
  <si>
    <t>6ZFHLXX18L48HSDSSKX</t>
  </si>
  <si>
    <t>6ZFHLXX18L48HSDSDKX</t>
  </si>
  <si>
    <t>6ZFHLXX18L54HSSSSKX</t>
  </si>
  <si>
    <t>6ZFHLXX18L54HSSSDKX</t>
  </si>
  <si>
    <t>6ZFHLXX18L54HSDSSKX</t>
  </si>
  <si>
    <t>6ZFHLXX18L54HSDSDKX</t>
  </si>
  <si>
    <t>6ZFHLXX18L60HSSSSKX</t>
  </si>
  <si>
    <t>6ZFHLXX18L60HSSSDKX</t>
  </si>
  <si>
    <t>6ZFHLXX18L60HSDSSKX</t>
  </si>
  <si>
    <t>6ZFHLXX18L60HSDSDKX</t>
  </si>
  <si>
    <t>6ZFHLXX18L66HSSSSKX</t>
  </si>
  <si>
    <t>6ZFHLXX18L66HSSSDKX</t>
  </si>
  <si>
    <t>6ZFHLXX18L66HSDSSKX</t>
  </si>
  <si>
    <t>6ZFHLXX18L66HSDSDKX</t>
  </si>
  <si>
    <t>6ZFHLXX18L72HSSSSKX</t>
  </si>
  <si>
    <t>6ZFHLXX18L72HSSSDKX</t>
  </si>
  <si>
    <t>6ZFHLXX18L72HSDSSKX</t>
  </si>
  <si>
    <t>6ZFHLXX18L72HSDSDKX</t>
  </si>
  <si>
    <t>42x18</t>
  </si>
  <si>
    <t>48x18</t>
  </si>
  <si>
    <t>54x18</t>
  </si>
  <si>
    <t>60x18</t>
  </si>
  <si>
    <t>66x18</t>
  </si>
  <si>
    <t>72x18</t>
  </si>
  <si>
    <t>6MMTSMROPL30XXXWNNX</t>
  </si>
  <si>
    <t>6MMTSMROPL36XXXWNNX</t>
  </si>
  <si>
    <t>6MMTSMROPL42XXXWNNX</t>
  </si>
  <si>
    <t>6MMTSMROPL48XXXWNNX</t>
  </si>
  <si>
    <t>6MMTSMROPL54XXXWNNX</t>
  </si>
  <si>
    <t>6MMTSMSQPL30L30WNNX</t>
  </si>
  <si>
    <t>6MMTSMSQLL36L36WNNX</t>
  </si>
  <si>
    <t>6MMTSMSQPL36L36WNNX</t>
  </si>
  <si>
    <t>6MMTSMSQLL42L42WNNX</t>
  </si>
  <si>
    <t>6MMTSMSQPL42L42WNNX</t>
  </si>
  <si>
    <t>6MMTSMSQLL48L48WNNX</t>
  </si>
  <si>
    <t>6MMTSMSQPL48L48WNNX</t>
  </si>
  <si>
    <t>6MMTSMSQLL54L54WNNX</t>
  </si>
  <si>
    <t>6MMTSMRELL24L42WNNX</t>
  </si>
  <si>
    <t>6MMTSMRELL24L48WNNX</t>
  </si>
  <si>
    <t>6MMTSMRELL24L54WNNX</t>
  </si>
  <si>
    <t>6MMTSMRELL24L60WNNX</t>
  </si>
  <si>
    <t>6MMTSMRELL30L42WNNX</t>
  </si>
  <si>
    <t>6MMTSMRELL30L48WNNX</t>
  </si>
  <si>
    <t>6MMTSMRELL30L54WNNX</t>
  </si>
  <si>
    <t>6MMTSMRELL30L60WNNX</t>
  </si>
  <si>
    <t>6MMTSMREPL30L42WNNX</t>
  </si>
  <si>
    <t>6MMTSMREPL30L48WNNX</t>
  </si>
  <si>
    <t>6MMTSMREPL30L60WNNX</t>
  </si>
  <si>
    <t>6MMTMDRENL36L60WYNX</t>
  </si>
  <si>
    <t>6MMTMDRENL36L66WYNX</t>
  </si>
  <si>
    <t>6MMTMDRENL36L72WYNX</t>
  </si>
  <si>
    <t>6MMTMDRENL36L78WYNX</t>
  </si>
  <si>
    <t>6MMTMDRENL36L84WYNX</t>
  </si>
  <si>
    <t>6MMTMDRENL36L90WYNX</t>
  </si>
  <si>
    <t>6MMTMDRENL36L96WYNX</t>
  </si>
  <si>
    <t>6MMTMDRENL36102WYNX</t>
  </si>
  <si>
    <t>6MMTMDRENL36108WYNX</t>
  </si>
  <si>
    <t>6MMTMDRENL36114WYNX</t>
  </si>
  <si>
    <t>6MMTMDRENL36120WYNX</t>
  </si>
  <si>
    <t>6MMTMDRENL42L60WYNX</t>
  </si>
  <si>
    <t>6MMTMDRENL42L66WYNX</t>
  </si>
  <si>
    <t>6MMTMDRENL42L72WYNX</t>
  </si>
  <si>
    <t>6MMTMDRENL42L78WYNX</t>
  </si>
  <si>
    <t>6MMTMDRENL42L84WYNX</t>
  </si>
  <si>
    <t>6MMTMDRENL42L90WYNX</t>
  </si>
  <si>
    <t>6MMTMDRENL42L96WYNX</t>
  </si>
  <si>
    <t>6MMTMDRENL42102WYNX</t>
  </si>
  <si>
    <t>6MMTMDRENL42108WYNX</t>
  </si>
  <si>
    <t>6MMTMDRENL42114WYNX</t>
  </si>
  <si>
    <t>6MMTMDRENL42120WYNX</t>
  </si>
  <si>
    <t>6MMTMDRENL48L60WYNX</t>
  </si>
  <si>
    <t>6MMTMDRENL48L66WYNX</t>
  </si>
  <si>
    <t>6MMTMDRENL48L72WYNX</t>
  </si>
  <si>
    <t>6MMTMDRENL48L78WYNX</t>
  </si>
  <si>
    <t>6MMTMDRENL48L84WYNX</t>
  </si>
  <si>
    <t>6MMTMDRENL48L90WYNX</t>
  </si>
  <si>
    <t>6MMTMDRENL48L96WYNX</t>
  </si>
  <si>
    <t>6MMTMDRENL48102WYNX</t>
  </si>
  <si>
    <t>6MMTMDRENL48108WYNX</t>
  </si>
  <si>
    <t>6MMTMDRENL48114WYNX</t>
  </si>
  <si>
    <t>6MMTMDRENL48120WYNX</t>
  </si>
  <si>
    <t>6MMTMDRENW30L60WYNX</t>
  </si>
  <si>
    <t>6MMTMDRENW30L66WYNX</t>
  </si>
  <si>
    <t>6MMTMDRENW30L72WYNX</t>
  </si>
  <si>
    <t>6MMTMDRENW30L78WYNX</t>
  </si>
  <si>
    <t>6MMTMDRENW30L84WYNX</t>
  </si>
  <si>
    <t>6MMTMDRENW30L90WYNX</t>
  </si>
  <si>
    <t>6MMTMDRENW30L96WYNX</t>
  </si>
  <si>
    <t>6MMTMDRENW30102WYNX</t>
  </si>
  <si>
    <t>6MMTMDRENW30108WYNX</t>
  </si>
  <si>
    <t>6MMTMDRENW30114WYNX</t>
  </si>
  <si>
    <t>6MMTMDRENW30120WYNX</t>
  </si>
  <si>
    <t>6MMTMDRENW36L60WYNX</t>
  </si>
  <si>
    <t>6MMTMDRENW36L66WYNX</t>
  </si>
  <si>
    <t>6MMTMDRENW36L72WYNX</t>
  </si>
  <si>
    <t>6MMTMDRENW36L78WYNX</t>
  </si>
  <si>
    <t>6MMTMDRENW36L84WYNX</t>
  </si>
  <si>
    <t>6MMTMDRENW36L90WYNX</t>
  </si>
  <si>
    <t>6MMTMDRENW36L96WYNX</t>
  </si>
  <si>
    <t>6MMTMDRENW36102WYNX</t>
  </si>
  <si>
    <t>6MMTMDRENW36108WYNX</t>
  </si>
  <si>
    <t>6MMTMDRENW36114WYNX</t>
  </si>
  <si>
    <t>6MMTMDRENW36120WYNX</t>
  </si>
  <si>
    <t>6MMTMDRENW42L60WYNX</t>
  </si>
  <si>
    <t>6MMTMDRENW42L66WYNX</t>
  </si>
  <si>
    <t>6MMTMDRENW42L72WYNX</t>
  </si>
  <si>
    <t>6MMTMDRENW42L78WYNX</t>
  </si>
  <si>
    <t>6MMTMDRENW42L84WYNX</t>
  </si>
  <si>
    <t>6MMTMDRENW42L90WYNX</t>
  </si>
  <si>
    <t>6MMTMDRENW42L96WYNX</t>
  </si>
  <si>
    <t>6MMTMDRENW42102WYNX</t>
  </si>
  <si>
    <t>6MMTMDRENW42108WYNX</t>
  </si>
  <si>
    <t>6MMTMDRENW42114WYNX</t>
  </si>
  <si>
    <t>6MMTMDRENW42120WYNX</t>
  </si>
  <si>
    <t>6MMTMDRENW48L60WYNX</t>
  </si>
  <si>
    <t>6MMTMDRENW48L66WYNX</t>
  </si>
  <si>
    <t>6MMTMDRENW48L72WYNX</t>
  </si>
  <si>
    <t>6MMTMDRENW48L78WYNX</t>
  </si>
  <si>
    <t>6MMTMDRENW48L84WYNX</t>
  </si>
  <si>
    <t>6MMTMDRENW48L90WYNX</t>
  </si>
  <si>
    <t>6MMTMDRENW48L96WYNX</t>
  </si>
  <si>
    <t>6MMTMDRENW48102WYNX</t>
  </si>
  <si>
    <t>6MMTMDRENW48108WYNX</t>
  </si>
  <si>
    <t>6MMTMDRENW48114WYNX</t>
  </si>
  <si>
    <t>6MMTMDRENW48120WYNX</t>
  </si>
  <si>
    <t>Laminate  BC Open/Open</t>
  </si>
  <si>
    <t>Standard Laminate</t>
  </si>
  <si>
    <t>Laminate  BC Close/Open</t>
  </si>
  <si>
    <t>Standard Laminate- Lock On Door</t>
  </si>
  <si>
    <t>Laminate  BC Open/Close</t>
  </si>
  <si>
    <t>Laminate  BC Close/Close</t>
  </si>
  <si>
    <t>Standard Laminate- Lock On Door's</t>
  </si>
  <si>
    <t>60x20</t>
  </si>
  <si>
    <t>6ZFHLXX20L60HSSSDKX</t>
  </si>
  <si>
    <t>6ZFHLXX20L60HSDSSKX</t>
  </si>
  <si>
    <t>6ZFHLXX20L60HSDSDKX</t>
  </si>
  <si>
    <t>6ZFHLXX20L66HSSSSKX</t>
  </si>
  <si>
    <t>66x20</t>
  </si>
  <si>
    <t>6ZFHLXX20L66HSSSDKX</t>
  </si>
  <si>
    <t>6ZFHLXX20L66HSDSSKX</t>
  </si>
  <si>
    <t>6ZFHLXX20L66HSDSDKX</t>
  </si>
  <si>
    <t>6ZFHLXX20L72HSSSSKX</t>
  </si>
  <si>
    <t>72x20</t>
  </si>
  <si>
    <t>6ZFHLXX20L72HSSSDKX</t>
  </si>
  <si>
    <t>6ZFHLXX20L72HSDSSKX</t>
  </si>
  <si>
    <t>6ZFHLXX20L72HSDSDKX</t>
  </si>
  <si>
    <t>6ZFHLXX24L42HSSSSKX</t>
  </si>
  <si>
    <t>6ZFHLXX24L42HSSSDKX</t>
  </si>
  <si>
    <t>6ZFHLXX24L42HSDSSKX</t>
  </si>
  <si>
    <t>6ZFHLXX24L42HSDSDKX</t>
  </si>
  <si>
    <t>6ZFHLXX24L48HSSSSKX</t>
  </si>
  <si>
    <t>6ZFHLXX24L48HSSSDKX</t>
  </si>
  <si>
    <t>6ZFHLXX24L48HSDSSKX</t>
  </si>
  <si>
    <t>6ZFHLXX24L48HSDSDKX</t>
  </si>
  <si>
    <t>6ZFHLXX24L54HSSSSKX</t>
  </si>
  <si>
    <t>6ZFHLXX24L54HSSSDKX</t>
  </si>
  <si>
    <t>6ZFHLXX24L54HSDSSKX</t>
  </si>
  <si>
    <t>6ZFHLXX24L54HSDSDKX</t>
  </si>
  <si>
    <t>6ZFHWXX18L42HSSSSKX</t>
  </si>
  <si>
    <t>Wood Veneer BC Open/Open</t>
  </si>
  <si>
    <t xml:space="preserve">Cherry, Maple, Walnut </t>
  </si>
  <si>
    <t>6ZFHWXX18L42HSSSDKX</t>
  </si>
  <si>
    <t>Wood Veneer BC Close/Open</t>
  </si>
  <si>
    <t>Cherry, Maple, Walnut - Lock On Door</t>
  </si>
  <si>
    <t>6ZFHWXX18L42HSDSSKX</t>
  </si>
  <si>
    <t>Wood Veneer BC Open/Close</t>
  </si>
  <si>
    <t>6ZFHWXX18L42HSDSDKX</t>
  </si>
  <si>
    <t>Wood Veneer BC Close/Close</t>
  </si>
  <si>
    <t>Cherry, Maple, Walnut - Lock On Door's</t>
  </si>
  <si>
    <t>6ZFHWXX18L48HSSSSKX</t>
  </si>
  <si>
    <t>6ZFHWXX18L48HSSSDKX</t>
  </si>
  <si>
    <t>6ZFHWXX18L48HSDSSKX</t>
  </si>
  <si>
    <t>6ZFHWXX18L48HSDSDKX</t>
  </si>
  <si>
    <t>6ZFHWXX18L54HSSSSKX</t>
  </si>
  <si>
    <t>6ZFHWXX18L54HSSSDKX</t>
  </si>
  <si>
    <t>6ZFHWXX18L54HSDSSKX</t>
  </si>
  <si>
    <t>6ZFHWXX18L54HSDSDKX</t>
  </si>
  <si>
    <t>6ZFHWXX18L60HSSSSKX</t>
  </si>
  <si>
    <t>6ZFHWXX18L60HSSSDKX</t>
  </si>
  <si>
    <t>6ZFHWXX18L60HSDSSKX</t>
  </si>
  <si>
    <t>6ZFHWXX18L60HSDSDKX</t>
  </si>
  <si>
    <t>6ZFHWXX18L66HSSSSKX</t>
  </si>
  <si>
    <t>6ZFHWXX18L66HSSSDKX</t>
  </si>
  <si>
    <t>6ZFHWXX18L66HSDSSKX</t>
  </si>
  <si>
    <t>6ZFHWXX18L66HSDSDKX</t>
  </si>
  <si>
    <t>6ZFHWXX18L72HSSSSKX</t>
  </si>
  <si>
    <t>6ZFHWXX18L72HSSSDKX</t>
  </si>
  <si>
    <t>6ZFHWXX18L72HSDSSKX</t>
  </si>
  <si>
    <t>6ZFHWXX18L72HSDSDKX</t>
  </si>
  <si>
    <t>6ZFHWXX20L42HSSSSKX</t>
  </si>
  <si>
    <t>6ZFHWXX20L42HSSSDKX</t>
  </si>
  <si>
    <t>6ZFHWXX20L42HSDSSKX</t>
  </si>
  <si>
    <t>6ZFHWXX20L42HSDSDKX</t>
  </si>
  <si>
    <t>6ZFHWXX20L48HSSSSKX</t>
  </si>
  <si>
    <t>6ZFHWXX20L48HSSSDKX</t>
  </si>
  <si>
    <t>6ZFHWXX20L48HSDSSKX</t>
  </si>
  <si>
    <t>6ZFHWXX20L48HSDSDKX</t>
  </si>
  <si>
    <t>6ZFHWXX20L54HSSSSKX</t>
  </si>
  <si>
    <t>6ZFHWXX20L54HSSSDKX</t>
  </si>
  <si>
    <t>6ZFHWXX20L54HSDSSKX</t>
  </si>
  <si>
    <t>6ZFHWXX20L54HSDSDKX</t>
  </si>
  <si>
    <t>6ZFHWXX20L60HSSSSKX</t>
  </si>
  <si>
    <t>6ZFHWXX20L60HSSSDKX</t>
  </si>
  <si>
    <t>6ZFHWXX20L60HSDSSKX</t>
  </si>
  <si>
    <t>6ZFHWXX20L60HSDSDKX</t>
  </si>
  <si>
    <t>6ZFHWXX20L66HSSSSKX</t>
  </si>
  <si>
    <t>6ZFHWXX20L66HSSSDKX</t>
  </si>
  <si>
    <t>6ZFHWXX20L66HSDSSKX</t>
  </si>
  <si>
    <t>6ZFHWXX20L66HSDSDKX</t>
  </si>
  <si>
    <t>6ZFHWXX20L72HSSSSKX</t>
  </si>
  <si>
    <t>6ZFHWXX20L72HSSSDKX</t>
  </si>
  <si>
    <t>6ZFHWXX20L72HSDSSKX</t>
  </si>
  <si>
    <t>6ZFHWXX20L72HSDSDKX</t>
  </si>
  <si>
    <t>6ZFHWXX24L42HSSSSKX</t>
  </si>
  <si>
    <t>6ZFHWXX24L42HSSSDKX</t>
  </si>
  <si>
    <t>6ZFHWXX24L42HSDSSKX</t>
  </si>
  <si>
    <t>6ZFHWXX24L42HSDSDKX</t>
  </si>
  <si>
    <t>6ZFHWXX24L48HSSSSKX</t>
  </si>
  <si>
    <t>6ZFHWXX24L48HSSSDKX</t>
  </si>
  <si>
    <t>6ZFHWXX24L48HSDSSKX</t>
  </si>
  <si>
    <t>6ZFHWXX24L48HSDSDKX</t>
  </si>
  <si>
    <t>6ZFHWXX24L54HSSSSKX</t>
  </si>
  <si>
    <t>6ZFHWXX24L54HSSSDKX</t>
  </si>
  <si>
    <t>6ZFHWXX24L54HSDSSKX</t>
  </si>
  <si>
    <t>6ZFHWXX24L54HSDSDKX</t>
  </si>
  <si>
    <t>6ZFHWXX24L60HSSSSKX</t>
  </si>
  <si>
    <t>6ZFHWXX24L60HSSSDKX</t>
  </si>
  <si>
    <t>6ZFHWXX24L60HSDSSKX</t>
  </si>
  <si>
    <t>6ZFHWXX24L60HSDSDKX</t>
  </si>
  <si>
    <t>6ZFHWXX24L66HSSSSKX</t>
  </si>
  <si>
    <t>6ZFHWXX24L66HSSSDKX</t>
  </si>
  <si>
    <t>6ZFHWXX24L66HSDSSKX</t>
  </si>
  <si>
    <t>6ZFHWXX24L66HSDSDKX</t>
  </si>
  <si>
    <t>6ZFHWXX24L72HSSSSKX</t>
  </si>
  <si>
    <t>6ZFHWXX24L72HSSSDKX</t>
  </si>
  <si>
    <t>6ZFHWXX24L72HSDSSKX</t>
  </si>
  <si>
    <t>6ZFHWXX24L72HSDSDKX</t>
  </si>
  <si>
    <t xml:space="preserve">Rectangular Laminate 4 Post Leg Coffee Table </t>
  </si>
  <si>
    <t>42x18x21</t>
  </si>
  <si>
    <t xml:space="preserve">Rectangular Standard Laminate Top W.PVC Edge, Black Matte, Silver Metallic Or Polished Chrome Legs </t>
  </si>
  <si>
    <t>42x22x16</t>
  </si>
  <si>
    <t xml:space="preserve">Rectangular Standard Laminate </t>
  </si>
  <si>
    <t>36x24x16</t>
  </si>
  <si>
    <t>42x24x16</t>
  </si>
  <si>
    <t>48x24x16</t>
  </si>
  <si>
    <t>Rectangular Wood Veneer 4 Post Leg Coffee Table</t>
  </si>
  <si>
    <t>48x18x16</t>
  </si>
  <si>
    <t xml:space="preserve">Cherry, Maple, Walnut Finishes </t>
  </si>
  <si>
    <t>48x24x15</t>
  </si>
  <si>
    <t xml:space="preserve">Cherry, Maple (Beech Can Be Ordered At The Same Price As Laminate) </t>
  </si>
  <si>
    <t xml:space="preserve">Rectangular Painted MDF 4 Post Leg Coffee Table </t>
  </si>
  <si>
    <t>Standard Palette Finish</t>
  </si>
  <si>
    <t xml:space="preserve">Standard Pallete Finish </t>
  </si>
  <si>
    <t xml:space="preserve">Rectangular Solid Surface 4 Post Leg Coffee Table </t>
  </si>
  <si>
    <t>Round Laminate 4 Post Leg Coffee Table</t>
  </si>
  <si>
    <t xml:space="preserve">Round Top, Standard Laminate </t>
  </si>
  <si>
    <t xml:space="preserve">Round Top, Standard Laminate Top W.PVC Edge, Black Matte, Silver Metallic Or Polished Chrome Legs </t>
  </si>
  <si>
    <t>Round Wood Veneer 4 Post Leg Coffee Table</t>
  </si>
  <si>
    <t>Round Top, Maple, Cherry ( Beech Can Be Ordered At The Same Price As Laminate)</t>
  </si>
  <si>
    <t xml:space="preserve">Round Top, Wood Veneer Top Beech, Black Matte, Silver Metallic Or Polished Chrome Legs </t>
  </si>
  <si>
    <t>Round Painted MDF 4 Post Leg Coffee Table</t>
  </si>
  <si>
    <t xml:space="preserve">Round Top, Standard Palette Finish </t>
  </si>
  <si>
    <t xml:space="preserve">Round Top, Standard Palette Finish Top, Black Matte, Silver Metallic Or Polished Chrome Legs </t>
  </si>
  <si>
    <t xml:space="preserve">36" Dia </t>
  </si>
  <si>
    <t>Oval Laminate 4 Post Leg Coffee Table</t>
  </si>
  <si>
    <t xml:space="preserve">Oval Top, Standard Laminate </t>
  </si>
  <si>
    <t>Oval Wood Veneer 4 Post Leg Coffee Table</t>
  </si>
  <si>
    <t>Oval Top, Cherry, Maple, Walnut,Anigre Finish, Style 2 (Style 1 Can Be Ordered At The Same Price As Laminate)</t>
  </si>
  <si>
    <t>Square Laminate 4 Post Leg Coffee Table</t>
  </si>
  <si>
    <t>30x30x16</t>
  </si>
  <si>
    <t xml:space="preserve">Square Top, Standard Laminate </t>
  </si>
  <si>
    <t>Square Wood Veneer 4 Post Leg Coffee Table</t>
  </si>
  <si>
    <t xml:space="preserve">Square Top, Maple, Oak, Walnut </t>
  </si>
  <si>
    <t>Square Painted MDF 4 Post Leg Coffee Table</t>
  </si>
  <si>
    <t xml:space="preserve">Square Top, Standard Palette Finish </t>
  </si>
  <si>
    <t>Square Solid Surface 4 Post Leg Coffee Table</t>
  </si>
  <si>
    <t>36x36x16</t>
  </si>
  <si>
    <t>Maple (Beech Can Be Ordered At The Same Price As Laminate)</t>
  </si>
  <si>
    <t>42x42x16</t>
  </si>
  <si>
    <t>Square Laminate Legs  Coffee Table</t>
  </si>
  <si>
    <t>18x18x15</t>
  </si>
  <si>
    <t>Square Wood Veneer Legs  Coffee Table</t>
  </si>
  <si>
    <t xml:space="preserve">Square Top,  Maple, Cherry, Beech Can Be Ordered At Laminate Pricing </t>
  </si>
  <si>
    <t>Square Painted MDF Legs  Coffee Table</t>
  </si>
  <si>
    <t>Square Solid Surface Legs  Coffee Table</t>
  </si>
  <si>
    <t>24x24x15</t>
  </si>
  <si>
    <t xml:space="preserve">Round Laminate Coffee Table, W/ Legs </t>
  </si>
  <si>
    <t>18"Dx15</t>
  </si>
  <si>
    <t>Round Top, Standard Laminate</t>
  </si>
  <si>
    <t>24"Dx15</t>
  </si>
  <si>
    <t xml:space="preserve">Round Wood Veneer Coffee Table, W/ Legs </t>
  </si>
  <si>
    <t xml:space="preserve">Round Top, Maple, Cherry, Beech Can Be Ordered At Laminate Pricing </t>
  </si>
  <si>
    <t>Round Painted MDF Coffee Table, W/ Legs</t>
  </si>
  <si>
    <t xml:space="preserve">Round Top Top, Standard Palette Finish </t>
  </si>
  <si>
    <t>Round Solid Surface Coffee Table, W/ Legs</t>
  </si>
  <si>
    <t xml:space="preserve">Round Laminate Table, W/ Disc Base </t>
  </si>
  <si>
    <t>30"Dx42</t>
  </si>
  <si>
    <t xml:space="preserve">Standard HPL Laminate Bar Height W/ Disc Base </t>
  </si>
  <si>
    <t>30"Dx36</t>
  </si>
  <si>
    <t xml:space="preserve">Standard HPL Laminate Counter Height W/ Disc Base </t>
  </si>
  <si>
    <t>36"DX42</t>
  </si>
  <si>
    <t xml:space="preserve">Square Laminate Table, W/ Square Base </t>
  </si>
  <si>
    <t>30x30x42</t>
  </si>
  <si>
    <t xml:space="preserve">Standard HPL Laminate Bar Height W/ Square Base </t>
  </si>
  <si>
    <t>30x30x36</t>
  </si>
  <si>
    <t>Standard HPL Laminate Counter Height W/ Square base</t>
  </si>
  <si>
    <t>36x36x42</t>
  </si>
  <si>
    <t>36x36x36</t>
  </si>
  <si>
    <t>Laminate Ando Table Counter Height W/ Waterfall Edge- End Gable W/ Power</t>
  </si>
  <si>
    <t>60x30x36</t>
  </si>
  <si>
    <t>Krug Standard Laminate, With One 54POWERPORT1 Included</t>
  </si>
  <si>
    <t>Laminate Ando Table Counter Height W/ Waterfall Edge- End Gable W/ No Power</t>
  </si>
  <si>
    <t xml:space="preserve">Krug Standard Laminate, No Power Included </t>
  </si>
  <si>
    <t>Laminate Ando Table Bar Height W/ Waterfall Edge- End Gable W/ Power</t>
  </si>
  <si>
    <t>60x30x42</t>
  </si>
  <si>
    <t>Laminate Ando Table Bar Height W/ Waterfall Edge- End Gable W/ No Power</t>
  </si>
  <si>
    <t>72x30x36</t>
  </si>
  <si>
    <t>72x30x42</t>
  </si>
  <si>
    <t>84x30x36</t>
  </si>
  <si>
    <t>84x30x42</t>
  </si>
  <si>
    <t>96x30x36</t>
  </si>
  <si>
    <t>96x30x42</t>
  </si>
  <si>
    <t>96x04x42</t>
  </si>
  <si>
    <t>60x36x36</t>
  </si>
  <si>
    <t>60x36x42</t>
  </si>
  <si>
    <t>72x36x36</t>
  </si>
  <si>
    <t>72x36x42</t>
  </si>
  <si>
    <t>84x36x36</t>
  </si>
  <si>
    <t>84x36x42</t>
  </si>
  <si>
    <t>96x36x36</t>
  </si>
  <si>
    <t>96x36x42</t>
  </si>
  <si>
    <t>60x42x42</t>
  </si>
  <si>
    <t>72x42x42</t>
  </si>
  <si>
    <t>84x42x42</t>
  </si>
  <si>
    <t>96x42x42</t>
  </si>
  <si>
    <t>60x23x36</t>
  </si>
  <si>
    <t>60x24x42</t>
  </si>
  <si>
    <t>96X42X42</t>
  </si>
  <si>
    <t xml:space="preserve">Square Laminate Table, With Square Base, Power And Data </t>
  </si>
  <si>
    <t>30x30x25</t>
  </si>
  <si>
    <t>Krug Standard Laminate W/ PVC Edge, Overall Height To Be 25" Hi, 51PDAD01-06</t>
  </si>
  <si>
    <t>36x36x25</t>
  </si>
  <si>
    <t>48x48x25</t>
  </si>
  <si>
    <t>Round Laminate Table, With Square Base, Power And Data</t>
  </si>
  <si>
    <t>30"Dx25</t>
  </si>
  <si>
    <t>36"Dx25</t>
  </si>
  <si>
    <t xml:space="preserve">42'Dx25 </t>
  </si>
  <si>
    <t>Krug Inc.- SA72C4218L2117R2117</t>
  </si>
  <si>
    <t>Krug Inc.- SA72C4218L2111R2117</t>
  </si>
  <si>
    <t>Krug Inc.- SA72C4218L2117R2111</t>
  </si>
  <si>
    <t>Krug Inc.- SA72C4218L2111R2111</t>
  </si>
  <si>
    <t>Krug Inc.- SA72C4818L2417R2417</t>
  </si>
  <si>
    <t>Krug Inc.- SA72C4818L2411R2417</t>
  </si>
  <si>
    <t>Krug Inc.- SA72C4818L2417R2111</t>
  </si>
  <si>
    <t>Krug Inc.- SA72C4818L2411R2411</t>
  </si>
  <si>
    <t>Krug Inc.- SA72C5418L2717R2717</t>
  </si>
  <si>
    <t>Krug Inc.- SA72C5418L2711R2717</t>
  </si>
  <si>
    <t>Krug Inc.- SA72C5418L2717R2711</t>
  </si>
  <si>
    <t>Krug Inc.- SA72C5418L2711R2711</t>
  </si>
  <si>
    <t>Krug Inc.- SA72C6018L3017R3017</t>
  </si>
  <si>
    <t>Krug Inc.- SA72C6018L3011R3017</t>
  </si>
  <si>
    <t>Krug Inc.- SA72C6018L3017R3011</t>
  </si>
  <si>
    <t>Krug Inc.- SA72C6018L3011R3011</t>
  </si>
  <si>
    <t>Krug Inc.- SA72C6618L3317R3317</t>
  </si>
  <si>
    <t>Krug Inc.- SA72C6618L3311R3317</t>
  </si>
  <si>
    <t>Krug Inc.- SA72C6618L3317R3311</t>
  </si>
  <si>
    <t>Krug Inc.- SA72C6618L3311R3311</t>
  </si>
  <si>
    <t>Krug Inc.- SA72C7218L3617R3617</t>
  </si>
  <si>
    <t>Krug Inc.- SA72C7218L3611R3617</t>
  </si>
  <si>
    <t>Krug Inc.- SA72C7218L3617R3611</t>
  </si>
  <si>
    <t>Krug Inc.- SA72C72183611R3611</t>
  </si>
  <si>
    <t>Krug Inc.- SA72C4220L2117R2117</t>
  </si>
  <si>
    <t>Krug Inc.- SA72C4220L2111R2117</t>
  </si>
  <si>
    <t>Krug Inc.- SA72C4220L2117R2111</t>
  </si>
  <si>
    <t>Krug Inc.- SA72C4220L2111R2111</t>
  </si>
  <si>
    <t>Krug Inc.- SA72C4820L2417R2417</t>
  </si>
  <si>
    <t>Krug Inc.- SA72C4820L2411R2417</t>
  </si>
  <si>
    <t>Krug Inc.- SA72C4820L2417R2111</t>
  </si>
  <si>
    <t>Krug Inc.- SA72C4820L2411R2411</t>
  </si>
  <si>
    <t>Krug Inc.- SA72C5420L2717R2717</t>
  </si>
  <si>
    <t>Krug Inc.- SA72C5420L2711R2717</t>
  </si>
  <si>
    <t>Krug Inc.- SA72C5420L2717R2711</t>
  </si>
  <si>
    <t>Krug Inc.- SA72C5420L2711R2711</t>
  </si>
  <si>
    <t>Krug Inc.- SA72C6020L3017R3017</t>
  </si>
  <si>
    <t>Krug Inc.- SA72C6020L3011R3017</t>
  </si>
  <si>
    <t>Krug Inc.- SA72C6020L3017R3011</t>
  </si>
  <si>
    <t>Krug Inc.- SA72C6020L3011R3011</t>
  </si>
  <si>
    <t>Krug Inc.- SA72C6620L3317R3317</t>
  </si>
  <si>
    <t>Krug Inc.- SA72C6620L3311R3317</t>
  </si>
  <si>
    <t>Krug Inc.- SA72C6620L3317R3311</t>
  </si>
  <si>
    <t>Krug Inc.- SA72C6620L3311R3311</t>
  </si>
  <si>
    <t>Krug Inc.- SA72C7220L3617R3617</t>
  </si>
  <si>
    <t>Krug Inc.- SA72C7220L3611R3617</t>
  </si>
  <si>
    <t>Krug Inc.- SA72C7220L3617R3611</t>
  </si>
  <si>
    <t>Krug Inc.- SA72C72203611R3611</t>
  </si>
  <si>
    <t>Krug Inc.- SA72C4224L2117R2117</t>
  </si>
  <si>
    <t>Krug Inc.- SA72C4224L2111R2117</t>
  </si>
  <si>
    <t>Krug Inc.- SA72C4224L2117R2111</t>
  </si>
  <si>
    <t>Krug Inc.- SA72C4224L2111R2111</t>
  </si>
  <si>
    <t>Krug Inc.- SA72C4824L2417R2417</t>
  </si>
  <si>
    <t>Krug Inc.- SA72C4824L2411R2417</t>
  </si>
  <si>
    <t>Krug Inc.- SA72C4824L2417R2111</t>
  </si>
  <si>
    <t>Krug Inc.- SA72C4824L2411R2411</t>
  </si>
  <si>
    <t>Krug Inc.- SA72C5424L2717R2717</t>
  </si>
  <si>
    <t>Krug Inc.- SA72C5424L2711R2717</t>
  </si>
  <si>
    <t>Krug Inc.- SA72C5424L2717R2711</t>
  </si>
  <si>
    <t>Krug Inc.- SA72C5424L2711R2711</t>
  </si>
  <si>
    <t>Krug Inc.- SA72C6024L3017R3017</t>
  </si>
  <si>
    <t>Krug Inc.- SA72C6024L3011R3017</t>
  </si>
  <si>
    <t>Krug Inc.- SA72C6024L3017R3011</t>
  </si>
  <si>
    <t>Krug Inc.- SA72C6024L3011R3011</t>
  </si>
  <si>
    <t>Krug Inc.- SA72C6624L3317R3317</t>
  </si>
  <si>
    <t>Krug Inc.- SA72C6624L3311R3317</t>
  </si>
  <si>
    <t>Krug Inc.- SA72C6624L3317R3311</t>
  </si>
  <si>
    <t>Krug Inc.- SA72C6624L3311R3311</t>
  </si>
  <si>
    <t>Krug Inc.- SA72C7224L3617R3617</t>
  </si>
  <si>
    <t>Krug Inc.- SA72C7224L3611R3617</t>
  </si>
  <si>
    <t>Krug Inc.- SA72C7224L3617R3611</t>
  </si>
  <si>
    <t>Krug Inc.- SA72C72243611R3611</t>
  </si>
  <si>
    <t>Krug Inc.- SA76C4218L2117R2117</t>
  </si>
  <si>
    <t>Krug Inc.- SA76C4218L2111R2117</t>
  </si>
  <si>
    <t>Krug Inc.- SA76C4218L2117R2111</t>
  </si>
  <si>
    <t>Krug Inc.- SA76C4218L2111R2111</t>
  </si>
  <si>
    <t>Krug Inc.- SA76C4818L2417R2417</t>
  </si>
  <si>
    <t>Krug Inc.- SA76C4818L2411R2417</t>
  </si>
  <si>
    <t>Krug Inc.- SA76C4818L2417R2111</t>
  </si>
  <si>
    <t>Krug Inc.- SA76C4818L2411R2411</t>
  </si>
  <si>
    <t>Krug Inc.- SA76C5418L2717R2717</t>
  </si>
  <si>
    <t>Krug Inc.- SA76C5418L2711R2717</t>
  </si>
  <si>
    <t>Krug Inc.- SA76C5418L2717R2711</t>
  </si>
  <si>
    <t>Krug Inc.- SA76C5418L2711R2711</t>
  </si>
  <si>
    <t>Krug Inc.- SA76C6018L3017R3017</t>
  </si>
  <si>
    <t>Krug Inc.- SA76C6018L3011R3017</t>
  </si>
  <si>
    <t>Krug Inc.- SA76C6018L3017R3011</t>
  </si>
  <si>
    <t>Krug Inc.- SA76C6018L3011R3011</t>
  </si>
  <si>
    <t>Krug Inc.- SA76C6618L3317R3317</t>
  </si>
  <si>
    <t>Krug Inc.- SA76C6618L3311R3317</t>
  </si>
  <si>
    <t>Krug Inc.- SA76C6618L3317R3311</t>
  </si>
  <si>
    <t>Krug Inc.- SA76C6618L3311R3311</t>
  </si>
  <si>
    <t>Krug Inc.- SA76C7618L3617R3617</t>
  </si>
  <si>
    <t>Krug Inc.- SA76C7618L3611R3617</t>
  </si>
  <si>
    <t>Krug Inc.- SA76C7618L3617R3611</t>
  </si>
  <si>
    <t>Krug Inc.- SA76C76183611R3611</t>
  </si>
  <si>
    <t>Krug Inc.- SA76C4220L2117R2117</t>
  </si>
  <si>
    <t>Krug Inc.- SA76C4220L2111R2117</t>
  </si>
  <si>
    <t>Krug Inc.- SA76C4220L2117R2111</t>
  </si>
  <si>
    <t>Krug Inc.- SA76C4220L2111R2111</t>
  </si>
  <si>
    <t>Krug Inc.- SA76C4820L2417R2417</t>
  </si>
  <si>
    <t>Krug Inc.- SA76C4820L2411R2417</t>
  </si>
  <si>
    <t>Krug Inc.- SA76C4820L2417R2111</t>
  </si>
  <si>
    <t>Krug Inc.- SA76C4820L2411R2411</t>
  </si>
  <si>
    <t>Krug Inc.- SA76C5420L2717R2717</t>
  </si>
  <si>
    <t>Krug Inc.- SA76C5420L2711R2717</t>
  </si>
  <si>
    <t>Krug Inc.- SA76C5420L2717R2711</t>
  </si>
  <si>
    <t>Krug Inc.- SA76C5420L2711R2711</t>
  </si>
  <si>
    <t>Krug Inc.- SA76C6020L3011R3017</t>
  </si>
  <si>
    <t>Krug Inc.- SA76C6020L3017R3011</t>
  </si>
  <si>
    <t>Krug Inc.- SA76C6620L3317R3317</t>
  </si>
  <si>
    <t>Krug Inc.- SA76C6620L3311R3317</t>
  </si>
  <si>
    <t>Krug Inc.- SA76C6620L3317R3311</t>
  </si>
  <si>
    <t>Krug Inc.- SA76C6620L3311R3311</t>
  </si>
  <si>
    <t>Krug Inc.- SA76C7620L3617R3617</t>
  </si>
  <si>
    <t>Krug Inc.- SA76C7620L3611R3617</t>
  </si>
  <si>
    <t>Krug Inc.- SA76C7620L3617R3611</t>
  </si>
  <si>
    <t>Krug Inc.- SA76C76203611R3611</t>
  </si>
  <si>
    <t>Krug Inc.- SA76C4224L2117R2117</t>
  </si>
  <si>
    <t>Krug Inc.- SA76C4224L2111R2117</t>
  </si>
  <si>
    <t>Krug Inc.- SA76C4224L2117R2111</t>
  </si>
  <si>
    <t>Krug Inc.- SA76C4224L2111R2111</t>
  </si>
  <si>
    <t>Krug Inc.- SA76C4824L2417R2417</t>
  </si>
  <si>
    <t>Krug Inc.- SA76C4824L2411R2417</t>
  </si>
  <si>
    <t>Krug Inc.- SA76C4824L2417R2111</t>
  </si>
  <si>
    <t>Krug Inc.- SA76C4824L2411R2411</t>
  </si>
  <si>
    <t>Krug Inc.- SA76C5424L2717R2717</t>
  </si>
  <si>
    <t>Krug Inc.- SA76C5424L2711R2717</t>
  </si>
  <si>
    <t>Krug Inc.- SA76C5424L2717R2711</t>
  </si>
  <si>
    <t>Krug Inc.- SA76C5424L2711R2711</t>
  </si>
  <si>
    <t>Krug Inc.- SA76C6024L3011R3017</t>
  </si>
  <si>
    <t>Krug Inc.- SA76C6624L3317R3317</t>
  </si>
  <si>
    <t>Krug Inc.- SA76C6624L3311R3317</t>
  </si>
  <si>
    <t>Krug Inc.- SA76C6624L3317R3311</t>
  </si>
  <si>
    <t>Krug Inc.- SA76C6624L3311R3311</t>
  </si>
  <si>
    <t>Krug Inc.- SA76C7624L3617R3617</t>
  </si>
  <si>
    <t>Krug Inc.- SA76C7624L3611R3617</t>
  </si>
  <si>
    <t>Krug Inc.- SA76C7624L3617R3611</t>
  </si>
  <si>
    <t>Krug Inc.- SA76C76243611R3611</t>
  </si>
  <si>
    <t>6KBSBHxxLP15XXXRIYX</t>
  </si>
  <si>
    <t>6KBSBHxxLP15XXXRINX</t>
  </si>
  <si>
    <t>6KBSBHxxLP15XXXROYX</t>
  </si>
  <si>
    <t>6KBSBHxxLP15XXXRONX</t>
  </si>
  <si>
    <t>6KBSBHxxLY15XXXRIYX</t>
  </si>
  <si>
    <t>6KBSBHxxLY15XXXRINX</t>
  </si>
  <si>
    <t>6KBSBHxxLY15XXXROYX</t>
  </si>
  <si>
    <t>6KBSBHxxLY15XXXRONX</t>
  </si>
  <si>
    <t>6KBSBHxxSP15XXXROYX</t>
  </si>
  <si>
    <t>6KBSBHxxSP15XXXRONX</t>
  </si>
  <si>
    <t>6KBSCHxxLP15XXXPIYX</t>
  </si>
  <si>
    <t>6KBSCHxxLP15XXXPOYX</t>
  </si>
  <si>
    <t>6KBSCHxxSP15XXXPOYX</t>
  </si>
  <si>
    <t>6KBSCHxxSP15XXXPONX</t>
  </si>
  <si>
    <t>6KKCSAxxLP16XXXMIYX</t>
  </si>
  <si>
    <t>6KKCSAxxLP16XXXMINX</t>
  </si>
  <si>
    <t>6KKCSAxxLP16XXXMOYX</t>
  </si>
  <si>
    <t>6KKCSAxxLP16XXXMONX</t>
  </si>
  <si>
    <t>6KKCSAxxLY16XXXMIYX</t>
  </si>
  <si>
    <t>6KKCSAxxLY16XXXMINX</t>
  </si>
  <si>
    <t>6KKCSAxxLY16XXXMOYX</t>
  </si>
  <si>
    <t>6KKCSAxxLY16XXXMONX</t>
  </si>
  <si>
    <t>6KKCSAxxSP16XXXMIYX</t>
  </si>
  <si>
    <t>6KKCSAxxSP16XXXMOYX</t>
  </si>
  <si>
    <t>COR5-11C</t>
  </si>
  <si>
    <t>6SBBINXXLUW1G19LLYY</t>
  </si>
  <si>
    <t>6SBBINXXLUW1G19LLYN</t>
  </si>
  <si>
    <t>6SBBINXXLUW1G19LMYY</t>
  </si>
  <si>
    <t>6SBBINXXLUW1G19LMYN</t>
  </si>
  <si>
    <t>6SBBINXXLUW1G19LMNY</t>
  </si>
  <si>
    <t>6SBBINXXLUW1G19LMNN</t>
  </si>
  <si>
    <t>6SBBINXXBUW1G19LLYY</t>
  </si>
  <si>
    <t>6SBBINXXBUW1G19LLYN</t>
  </si>
  <si>
    <t>6SBBINXXBUW1G19LMYY</t>
  </si>
  <si>
    <t>6SBBINXXBUW1G19LMYN</t>
  </si>
  <si>
    <t>6SBBINXXBUW1G19LMNY</t>
  </si>
  <si>
    <t>6SBBINXXBUW1G19LMNN</t>
  </si>
  <si>
    <t>6SBAINXXLUW1G19LLYY</t>
  </si>
  <si>
    <t>6SBAINXXLUW1G19LLYN</t>
  </si>
  <si>
    <t>6SBAINXXLUW1G19LMYY</t>
  </si>
  <si>
    <t>6SBAINXXLUW1G19LMYN</t>
  </si>
  <si>
    <t>6SBAINXXLUW1G19LMNY</t>
  </si>
  <si>
    <t>6SBAINXXLUW1G19LMNN</t>
  </si>
  <si>
    <t>6SBAINXXBUW1G19LLYY</t>
  </si>
  <si>
    <t>6SBAINXXBUW1G19LLYN</t>
  </si>
  <si>
    <t>6SBAINXXBUW1G19LMYY</t>
  </si>
  <si>
    <t>6SBAINXXBUW1G19LMYN</t>
  </si>
  <si>
    <t>6SBAINXXBUW1G19LMNY</t>
  </si>
  <si>
    <t>6SBAINXXBUW1G19LMNN</t>
  </si>
  <si>
    <t>6SBBTWXXLUW3G19LLYY</t>
  </si>
  <si>
    <t>6SBBTWXXLUW3G19LLYN</t>
  </si>
  <si>
    <t>6SBBTWXXLUW3G19LMYY</t>
  </si>
  <si>
    <t>6SBBTWXXLUW3G19LMYN</t>
  </si>
  <si>
    <t>6SBBTWXXLUW3G19LMNY</t>
  </si>
  <si>
    <t>6SBBTWXXLUW3G19LMNN</t>
  </si>
  <si>
    <t>6SBBTWXXBUW3G19LLYY</t>
  </si>
  <si>
    <t>6SBBTWXXBUW3G19LLYN</t>
  </si>
  <si>
    <t>6SBBTWXXBUW3G19LMYY</t>
  </si>
  <si>
    <t>6SBBTWXXBUW3G19LMYN</t>
  </si>
  <si>
    <t>6SBBTWXXBUW3G19LMNY</t>
  </si>
  <si>
    <t>6SBBTWXXBUW3G19LMNN</t>
  </si>
  <si>
    <t>6SBATWXXLUW3G19LLYY</t>
  </si>
  <si>
    <t>6SBATWXXLUW3G19LLYN</t>
  </si>
  <si>
    <t>6SBATWXXLUW3G19LMYY</t>
  </si>
  <si>
    <t>6SBATWXXLUW3G19LMYN</t>
  </si>
  <si>
    <t>6SBATWXXLUW3G19LMNY</t>
  </si>
  <si>
    <t>6SBATWXXLUW3G19LMNN</t>
  </si>
  <si>
    <t>6SBATWXXBUW3G19LLYY</t>
  </si>
  <si>
    <t>6SBATWXXBUW3G19LLYN</t>
  </si>
  <si>
    <t>6SBATWXXBUW3G19LMYY</t>
  </si>
  <si>
    <t>6SBATWXXBUW3G19LMYN</t>
  </si>
  <si>
    <t>6SBATWXXBUW3G19LMNY</t>
  </si>
  <si>
    <t>6SBATWXXBUW3G19LMNN</t>
  </si>
  <si>
    <t>6SBBTHXXLUW5G19LLYY</t>
  </si>
  <si>
    <t>6SBBTHXXLUW5G19LLYN</t>
  </si>
  <si>
    <t>6SBBTHXXLUW5G19LMYY</t>
  </si>
  <si>
    <t>6SBBTHXXLUW5G19LMYN</t>
  </si>
  <si>
    <t>6SBBTHXXLUW5G19LMNY</t>
  </si>
  <si>
    <t>6SBBTHXXLUW5G19LMNN</t>
  </si>
  <si>
    <t>6SBBTHXXBUW5G19LLYY</t>
  </si>
  <si>
    <t>6SBBTHXXBUW5G19LLYN</t>
  </si>
  <si>
    <t>6SBBTHXXBUW5G19LMYY</t>
  </si>
  <si>
    <t>6SBBTHXXBUW5G19LMYN</t>
  </si>
  <si>
    <t>6SBBTHXXBUW5G19LMNY</t>
  </si>
  <si>
    <t>6SBBTHXXBUW5G19LMNN</t>
  </si>
  <si>
    <t>6SBATHXXLUW5G19LLYY</t>
  </si>
  <si>
    <t>6SBATHXXLUW5G19LLYN</t>
  </si>
  <si>
    <t>6SBATHXXLUW5G19LMYY</t>
  </si>
  <si>
    <t>6SBATHXXLUW5G19LMYN</t>
  </si>
  <si>
    <t>6SBATHXXLUW5G19LMNY</t>
  </si>
  <si>
    <t>6SBATHXXLUW5G19LMNN</t>
  </si>
  <si>
    <t>6SBATHXXBUW5G19LLYY</t>
  </si>
  <si>
    <t>6SBATHXXBUW5G19LLYN</t>
  </si>
  <si>
    <t>6SBATHXXBUW5G19LMYY</t>
  </si>
  <si>
    <t>6SBATHXXBUW5G19LMYN</t>
  </si>
  <si>
    <t>6SBATHXXBUW5G19LMNY</t>
  </si>
  <si>
    <t>6SBATHXXBUW5G19LMNN</t>
  </si>
  <si>
    <t>6SLCWAXXFUXXXXXMXXX</t>
  </si>
  <si>
    <t>6SLCOAXXFUXXXXXMXXX</t>
  </si>
  <si>
    <t>6SSOTWXXLUW4XXXQNNY</t>
  </si>
  <si>
    <t>6SSOTWXXLUW4XXXQNNN</t>
  </si>
  <si>
    <t>6SSOTWXXBUW4XXXQNNY</t>
  </si>
  <si>
    <t>6SSOTWXXBUW4XXXQNNN</t>
  </si>
  <si>
    <t>6SSOTHXXLUW6XXXQNNY</t>
  </si>
  <si>
    <t>6SSOTHXXLUW6XXXQNNN</t>
  </si>
  <si>
    <t>6SSOTHXXBUW6XXXQNNY</t>
  </si>
  <si>
    <t>6SSOTHXXBUW6XXXQNNN</t>
  </si>
  <si>
    <t>6STCWRXXLUXXXXXXNNX</t>
  </si>
  <si>
    <t>6STCWLXXLUXXXXXXNNX</t>
  </si>
  <si>
    <t>6STCOAXXLUXXXXXXNNX</t>
  </si>
  <si>
    <t>6SUOPRXXLUXXXXXLNNN</t>
  </si>
  <si>
    <t>6SUOMRXXLUXXXXXLNNN</t>
  </si>
  <si>
    <t>6SUOLRXXLUXXXXXLNNN</t>
  </si>
  <si>
    <t>6SUOPSXXLUXXXXXLNNN</t>
  </si>
  <si>
    <t>6SUOMSXXLUXXXXXLNNN</t>
  </si>
  <si>
    <t>6SUOLSXXLUXXXXXLNNN</t>
  </si>
  <si>
    <t>6SUCROXXLUX8XXXLXXX</t>
  </si>
  <si>
    <t>6SUCSQXXLUX8XXXLXXX</t>
  </si>
  <si>
    <t>6SUSROXXLUX8XXXLXXX</t>
  </si>
  <si>
    <t>6SUSSQXXLUX8XXXLXXX</t>
  </si>
  <si>
    <t>6SMORBXXLU25G19LNNN</t>
  </si>
  <si>
    <t>6SMORBXXLU25G19LYNN</t>
  </si>
  <si>
    <t>6SMPRBXXLU25G19LNNN</t>
  </si>
  <si>
    <t>6SMPRBXXLU25G19LYNN</t>
  </si>
  <si>
    <t>6SMOCBXXLU37G19LNNN</t>
  </si>
  <si>
    <t>6SMOCBXXLU37G19LYNN</t>
  </si>
  <si>
    <t>6SMPCBXXLU37G19LNNN</t>
  </si>
  <si>
    <t>6SMPCBXXLU37G19LYNN</t>
  </si>
  <si>
    <t>CORFU STOOL</t>
  </si>
  <si>
    <t>MANOLO STOOL</t>
  </si>
  <si>
    <t>KARMA STOOL</t>
  </si>
  <si>
    <t>CAPRI</t>
  </si>
  <si>
    <t>KARMA MULTIPURPOSE</t>
  </si>
  <si>
    <t>CORFU MULTIPURPOSE</t>
  </si>
  <si>
    <t>MAN5B12</t>
  </si>
  <si>
    <t>MAN5B11</t>
  </si>
  <si>
    <t>MAN5C12</t>
  </si>
  <si>
    <t>MAN5C11</t>
  </si>
  <si>
    <t>CAP2A1</t>
  </si>
  <si>
    <t>CAP2A3</t>
  </si>
  <si>
    <t>CAP2S3</t>
  </si>
  <si>
    <t>CAP2S1</t>
  </si>
  <si>
    <t>KAR2C-18.5S_W_D</t>
  </si>
  <si>
    <t>KAR2C-18.5S_WNAD</t>
  </si>
  <si>
    <t>COR5-51C</t>
  </si>
  <si>
    <t>COR5-50C</t>
  </si>
  <si>
    <t>COR5-10C</t>
  </si>
  <si>
    <t>Seat Depth &gt;15", Seat height 28-32"</t>
  </si>
  <si>
    <t>Seat Depth &gt;15", Seat height 24-27""</t>
  </si>
  <si>
    <t>Seat Depth &gt;16", Seat height 17-20""</t>
  </si>
  <si>
    <t>Krug Furniture Line</t>
  </si>
  <si>
    <t>COR5-60C</t>
  </si>
  <si>
    <t>COR5-30C</t>
  </si>
  <si>
    <t>COR2-11C</t>
  </si>
  <si>
    <t>COR2-10C</t>
  </si>
  <si>
    <t>Bar Stool, Bar Height, 4 legs, With Arms,  All Plastic, Seat Cushion, Silver or Chrome Frame</t>
  </si>
  <si>
    <t>Bar Stool, Bar Height, 4 legs, With Arms,  All Plastic, No Cushion, Silver or Chrome Frame</t>
  </si>
  <si>
    <t>Bar Stool, Bar Height, 4 legs, No Arms,  All Plastic, Seat Cushion, Silver or Chrome Frame</t>
  </si>
  <si>
    <t>Bar Stool, Bar Height, 4 legs, No Arms,  All Plastic, No Cushion, Silver or Chrome Frame</t>
  </si>
  <si>
    <t>Kitchenette Chair, Standard Height, 4 legs, With Arms,  All Plastic, Seat Cushion, Silver or Chrome Frame</t>
  </si>
  <si>
    <t>Kitchenette Chair, Standard Height, 4 legs, With Arms,  All Plastic, No Cushion, Silver or Chrome Frame</t>
  </si>
  <si>
    <t>Kitchenette Chair, Standard Height, 4 legs, No Arms,  All Plastic, Seat Cushion, Silver or Chrome Frame</t>
  </si>
  <si>
    <t>Kitchenette Chair, Standard Height, 4 legs, No Arms,  All Plastic, No Cushion, Silver or Chrome Frame</t>
  </si>
  <si>
    <t>Bar Stool, Counter Height, 4 legs, With Arms,  All Wood, Seat Cushion, Silver/ Chrome or Black Frame</t>
  </si>
  <si>
    <t>Bar Stool, Counter Height, 4 legs, No Arms,  All Wood, Seat Cushion, Silver/ Chrome or Black Frame</t>
  </si>
  <si>
    <t>Kitchenette Chair, Standard Height, 4 legs, With Arms,  Wood Back, Seat Cushion</t>
  </si>
  <si>
    <t>Kitchenette Chair, Standard Height, 4 legs, With Arms,  Wood Back &amp; Seat, No Cushion</t>
  </si>
  <si>
    <t>Bar Stool, Counter Height, Sled Base, No Arms,  Wood Back &amp; Seat, No Cushion, Low Back or Backless</t>
  </si>
  <si>
    <t>Bar Stool, Bar Height, 4 legs, With Arms,  Wood Back &amp; Seat, Seat Cushion, Silver or Chrome Frame</t>
  </si>
  <si>
    <t>Bar Stool, Bar Height, 4 legs, With Arms,  Wood Back &amp; Seat, No Cushion, Silver or Chrome Frame</t>
  </si>
  <si>
    <t>Bar Stool, Bar Height, 4 legs, No Arms, Wood Back &amp; Seat, Seat Cushion, Silver or Chrome Frame</t>
  </si>
  <si>
    <t>Bar Stool, Bar Height, 4 legs, No Arms, Wood Back &amp; Seat, No Cushion, Silver or Chrome Frame</t>
  </si>
  <si>
    <t>Bar Stool, Counter Height, Sled Base, No Arms,  Fully Upholstered, Low Back or Backless</t>
  </si>
  <si>
    <t>Bar Stool, Bar Height, Sled Base, No Arms,  Fully Upholstered, Low Back or Backless</t>
  </si>
  <si>
    <t>Bar Stool, Bar Height, Sled Base, No Arms,  Wood Back &amp; Seat, No Cushion,Low Back or Backless</t>
  </si>
  <si>
    <t>Kitchenette Chair, Standard Height, 4 legs, No Arms,  Wood Back, Seat Cushion</t>
  </si>
  <si>
    <t>Kitchenette Chair, Standard Height, 4 legs, No Arms, Wood Back &amp; Seat, No Cushion</t>
  </si>
  <si>
    <t>COR2-51C</t>
  </si>
  <si>
    <t>COR2-50C</t>
  </si>
  <si>
    <t>Kitchenette Chair, Standard Height, Sled Base, With Arms,  Wood Back, Seat Cushion, Silver or Black Frame</t>
  </si>
  <si>
    <t>PRICED PER FABRIC GRADE 1. GRADES 2-9 ARE AVAILABLE AS NON-SA UPCHARGE</t>
  </si>
  <si>
    <t>IMAGE</t>
  </si>
  <si>
    <t>Krug Inc.- CRE4D 422216</t>
  </si>
  <si>
    <t>Krug Inc. - FAE4-M44-22-16N</t>
  </si>
  <si>
    <t>Krug Inc.- LEY4362416</t>
  </si>
  <si>
    <t>Krug Inc.- LEY4422416</t>
  </si>
  <si>
    <t>Krug Inc.- ZOL4 482415</t>
  </si>
  <si>
    <t>44X22X16</t>
  </si>
  <si>
    <t>6CCTVARELL20L42JNXX</t>
  </si>
  <si>
    <t>6CCTVARELL20L48JNXX</t>
  </si>
  <si>
    <t>6CCTVARELL24L36JNXX</t>
  </si>
  <si>
    <t>6CCTVARELL24L42JNXX</t>
  </si>
  <si>
    <t>6CCTVARELL24L48JNXX</t>
  </si>
  <si>
    <t>6CCTVARELL18L42JNXX</t>
  </si>
  <si>
    <t>Krug Inc.- 6800-48-18-16</t>
  </si>
  <si>
    <t>Krug Inc.- JOR4-42-22-16</t>
  </si>
  <si>
    <t>44x22x16</t>
  </si>
  <si>
    <t>6CCTVARELW20L42JNXX</t>
  </si>
  <si>
    <t>6CCTVARELW20L48JNXX</t>
  </si>
  <si>
    <t>6CCTVARELW24L36JNXX</t>
  </si>
  <si>
    <t>6CCTVARELW24L42JNXX</t>
  </si>
  <si>
    <t>6CCTVARELW24L48JNXX</t>
  </si>
  <si>
    <t>Krug Inc.-ZOL4-30D15</t>
  </si>
  <si>
    <t>Krug Inc. - 72053016</t>
  </si>
  <si>
    <t>Krug Inc. - 72053616</t>
  </si>
  <si>
    <t>Krug Inc.- 5612-42-24-16</t>
  </si>
  <si>
    <t>Krug Inc.- LEY4303016</t>
  </si>
  <si>
    <t>Krug Inc.- CRE4D 363616S</t>
  </si>
  <si>
    <t>Krug Inc.- VIR4-42-42-16-0</t>
  </si>
  <si>
    <t>Krug Inc.- ZOL4 242415</t>
  </si>
  <si>
    <t>Krug Inc.- 72053042DB</t>
  </si>
  <si>
    <t>Krug Inc.-72053036DB</t>
  </si>
  <si>
    <t>Krug Inc.-72053642DB</t>
  </si>
  <si>
    <t>Krug Inc.-7261303042SQ</t>
  </si>
  <si>
    <t>Krug Inc.-7261303036SQ</t>
  </si>
  <si>
    <t>Krug Inc.-7261363642SQ</t>
  </si>
  <si>
    <t>Krug Inc.-7261363636SQ</t>
  </si>
  <si>
    <t>Krug Inc.- 54TC603036</t>
  </si>
  <si>
    <t>Krug Inc.- 54TB603042</t>
  </si>
  <si>
    <t>Krug Inc.- 54TC723036</t>
  </si>
  <si>
    <t>Krug Inc.- 54TB723042</t>
  </si>
  <si>
    <t>Krug Inc.- 54TC843036</t>
  </si>
  <si>
    <t>Krug Inc.- 54TB843042</t>
  </si>
  <si>
    <t>Krug Inc.- 54TC963036</t>
  </si>
  <si>
    <t>Krug Inc.- 54TB963042</t>
  </si>
  <si>
    <t>Krug Inc.- 54TC603636</t>
  </si>
  <si>
    <t>Krug Inc.- 54TB603642</t>
  </si>
  <si>
    <t>Krug Inc.- 54TC723636</t>
  </si>
  <si>
    <t>Krug Inc.- 54TB723642</t>
  </si>
  <si>
    <t>Krug Inc.- 54TC843636</t>
  </si>
  <si>
    <t>Krug Inc.- 54TB843642</t>
  </si>
  <si>
    <t>Krug Inc.- 54TC963636</t>
  </si>
  <si>
    <t>Krug Inc.- 54TB963642</t>
  </si>
  <si>
    <t>Krug Inc.- 54TC604236</t>
  </si>
  <si>
    <t>Krug Inc.- 54TB604242</t>
  </si>
  <si>
    <t>Krug Inc.- 54TC724236</t>
  </si>
  <si>
    <t>Krug Inc.- 54TB724242</t>
  </si>
  <si>
    <t>Krug Inc.- 54TC844236</t>
  </si>
  <si>
    <t>Krug Inc.- 54TB844242</t>
  </si>
  <si>
    <t>Krug Inc.- 54TC964236</t>
  </si>
  <si>
    <t>Krug Inc.- 54TB964242</t>
  </si>
  <si>
    <t>Krug Inc.- 51563030</t>
  </si>
  <si>
    <t>Krug Inc.- 51563636</t>
  </si>
  <si>
    <t>Krug Inc.- 51564848</t>
  </si>
  <si>
    <t>Krug Inc.- 510530</t>
  </si>
  <si>
    <t>Krug Inc.- 510536</t>
  </si>
  <si>
    <t>44x24x16</t>
  </si>
  <si>
    <t>6CCTVARELA24L36JNXX</t>
  </si>
  <si>
    <t>6CCTVARELA24L42JNXX</t>
  </si>
  <si>
    <t>6CCTVARELA24L48JNXX</t>
  </si>
  <si>
    <t>6CCTVARELS20L48JNXX</t>
  </si>
  <si>
    <t>6CCTVARELS24L36JNXX</t>
  </si>
  <si>
    <t>6CCTVARELS24L42JNXX</t>
  </si>
  <si>
    <t>6CCTVARELS24L48JNXX</t>
  </si>
  <si>
    <t>6CCTVAROLL30XXXJNXX</t>
  </si>
  <si>
    <t>6CCTVAROLL36XXXJNXX</t>
  </si>
  <si>
    <t>6CCTVAROLW30XXXJNXX</t>
  </si>
  <si>
    <t>6CCTVAROLW36XXXJNXX</t>
  </si>
  <si>
    <t>Round Solid Surface 4 Post Leg Coffee Table</t>
  </si>
  <si>
    <t>6CCTVAROLA30XXXJNXX</t>
  </si>
  <si>
    <t>6CCTVAROLA36XXXJNXX</t>
  </si>
  <si>
    <t>6CCTVAROLS30XXXJNXX</t>
  </si>
  <si>
    <t>6CCTVAROPL30XXXJNXX</t>
  </si>
  <si>
    <t>6CCTVAROPL36XXXJNXX</t>
  </si>
  <si>
    <t>Round Laminate Pedestal Coffee Table</t>
  </si>
  <si>
    <t xml:space="preserve">Round Solid Surface Pedestal Coffee Table </t>
  </si>
  <si>
    <t>6CCTVAOVLL24L42JNXX</t>
  </si>
  <si>
    <t>6CCTVAOVLL24L48JNXX</t>
  </si>
  <si>
    <t>6CCTVAROPS30XXXJNXX</t>
  </si>
  <si>
    <t>6CCTVAROPS36XXXJNXX</t>
  </si>
  <si>
    <t>Oval Solid Surface  4 Post Leg Coffee Table</t>
  </si>
  <si>
    <t>6CCTVAOVLS24L42JNXX</t>
  </si>
  <si>
    <t>6CCTVAOVLS24L48JNXX</t>
  </si>
  <si>
    <t>6CCTVASQLL30L30JNXX</t>
  </si>
  <si>
    <t>6CCTVASQLW30L30JNXX</t>
  </si>
  <si>
    <t>6CCTVASQLA30L30JNXX</t>
  </si>
  <si>
    <t>6CCTVASQLS30L30JNXX</t>
  </si>
  <si>
    <t>6CCTVASQLL36L36JNXX</t>
  </si>
  <si>
    <t>6CCTVASQLW36L36JNXX</t>
  </si>
  <si>
    <t>6CCTVASQLA36L36JNXX</t>
  </si>
  <si>
    <t>6CCTVASQLL42L42JNXX</t>
  </si>
  <si>
    <t>6CCTVASQLW42L42JNXX</t>
  </si>
  <si>
    <t>6CSTVASQLL18L18JNXX</t>
  </si>
  <si>
    <t>6CSTVASQLW18L18JNXX</t>
  </si>
  <si>
    <t>6CSTVASQLA18L18JNXX</t>
  </si>
  <si>
    <t>6CSTVASQLS18L18JNXX</t>
  </si>
  <si>
    <t>6CSTVASQLL24L24JNXX</t>
  </si>
  <si>
    <t>6CSTVASQLW24L24JNXX</t>
  </si>
  <si>
    <t>6CSTVASQLA24L24JNXX</t>
  </si>
  <si>
    <t>6CSTVASQLS24L24JNXX</t>
  </si>
  <si>
    <t>6CSTVAROLL18XXXJNXX</t>
  </si>
  <si>
    <t>6CSTVAROLL24XXXJNXX</t>
  </si>
  <si>
    <t>6CSTVAROLW18XXXJNXX</t>
  </si>
  <si>
    <t>6CSTVAROLW24XXXJNXX</t>
  </si>
  <si>
    <t>6CSTVAROLA18XXXJNXX</t>
  </si>
  <si>
    <t>6CSTVAROLA24XXXJNXX</t>
  </si>
  <si>
    <t>6CSTVAROLS18XXXJNXX</t>
  </si>
  <si>
    <t>6CSTVAROLS24XXXJNXX</t>
  </si>
  <si>
    <t>6CCMVAROPL30XXXPNXX</t>
  </si>
  <si>
    <t>6CCMVAROPL30XXXTNXX</t>
  </si>
  <si>
    <t>6CCMVAROPL36XXXPNXX</t>
  </si>
  <si>
    <t>6CCMVAROPL36XXXTNXX</t>
  </si>
  <si>
    <t>6CCMVASQPL30L30PNXX</t>
  </si>
  <si>
    <t>6CCMVASQPL30L30TNXX</t>
  </si>
  <si>
    <t>6CCMVASQPL36L36PNXX</t>
  </si>
  <si>
    <t>6CCMVASQPL36L36TNXX</t>
  </si>
  <si>
    <t>6CKIVAREGL30L60TYXX</t>
  </si>
  <si>
    <t>6CKIVAREGL30L60TNXX</t>
  </si>
  <si>
    <t>6CKIVAREGL30L60PYXX</t>
  </si>
  <si>
    <t>6CKIVAREGL30L60PNXX</t>
  </si>
  <si>
    <t>6CKIVAREGL30L72TYXX</t>
  </si>
  <si>
    <t>6CKIVAREGL30L72TNXX</t>
  </si>
  <si>
    <t>6CKIVAREGL30L72PYXX</t>
  </si>
  <si>
    <t>6CKIVAREGL30L72PNXX</t>
  </si>
  <si>
    <t>6CKIVAREGL30L84TYXX</t>
  </si>
  <si>
    <t>6CKIVAREGL30L84TNXX</t>
  </si>
  <si>
    <t>6CKIVAREGL30L84PYXX</t>
  </si>
  <si>
    <t>6CKIVAREGL30L84PNXX</t>
  </si>
  <si>
    <t>6CKIVAREGL30L96TYXX</t>
  </si>
  <si>
    <t>6CKIVAREGL30L96TNXX</t>
  </si>
  <si>
    <t>6CKIVAREGL30L96PYXX</t>
  </si>
  <si>
    <t>6CKIVAREGL30L96PNXX</t>
  </si>
  <si>
    <t>6CKIVAREGL36L60TYXX</t>
  </si>
  <si>
    <t>6CKIVAREGL36L60TNXX</t>
  </si>
  <si>
    <t>6CKIVAREGL36L60PYXX</t>
  </si>
  <si>
    <t>6CKIVAREGL36L60PNXX</t>
  </si>
  <si>
    <t>6CKIVAREGL36L72TYXX</t>
  </si>
  <si>
    <t>6CKIVAREGL36L72TNXX</t>
  </si>
  <si>
    <t>6CKIVAREGL36L72PYXX</t>
  </si>
  <si>
    <t>6CKIVAREGL36L72PNXX</t>
  </si>
  <si>
    <t>6CKIVAREGL36L84TYXX</t>
  </si>
  <si>
    <t>6CKIVAREGL36L84TNXX</t>
  </si>
  <si>
    <t>6CKIVAREGL36L84PYXX</t>
  </si>
  <si>
    <t>6CKIVAREGL36L84PNXX</t>
  </si>
  <si>
    <t>6CKIVAREGL36L96TYXX</t>
  </si>
  <si>
    <t>6CKIVAREGL36L96TNXX</t>
  </si>
  <si>
    <t>6CKIVAREGL36L96PYXX</t>
  </si>
  <si>
    <t>6CKIVAREGL36L96PNXX</t>
  </si>
  <si>
    <t>6CKIVAREGL42L60TYXX</t>
  </si>
  <si>
    <t>6CKIVAREGL42L60TNXX</t>
  </si>
  <si>
    <t>6CKIVAREGL42L60PYXX</t>
  </si>
  <si>
    <t>6CKIVAREGL42L60PNXX</t>
  </si>
  <si>
    <t>6CKIVAREGL42L72TYXX</t>
  </si>
  <si>
    <t>6CKIVAREGL42L72TNXX</t>
  </si>
  <si>
    <t>6CKIVAREGL42L72PYXX</t>
  </si>
  <si>
    <t>6CKIVAREGL42L72PNXX</t>
  </si>
  <si>
    <t>6CKIVAREGL42L84TYXX</t>
  </si>
  <si>
    <t>6CKIVAREGL42L84TNXX</t>
  </si>
  <si>
    <t>6CKIVAREGL42L84PYXX</t>
  </si>
  <si>
    <t>6CKIVAREGL42L84PNXX</t>
  </si>
  <si>
    <t>6CKIVAREGL42L96TYXX</t>
  </si>
  <si>
    <t>6CKIVAREGL42L96TNXX</t>
  </si>
  <si>
    <t>6CKIVAREGL42L96PYXX</t>
  </si>
  <si>
    <t>6CKIVAREGL42L96PNXX</t>
  </si>
  <si>
    <t>6CKIVAREWL30L60TYXX</t>
  </si>
  <si>
    <t>6CKIVAREWL30L60TNXX</t>
  </si>
  <si>
    <t>6CKIVAREWL30L60PYXX</t>
  </si>
  <si>
    <t>6CKIVAREWL30L60PNXX</t>
  </si>
  <si>
    <t>6CKIVAREWL30L72TYXX</t>
  </si>
  <si>
    <t>6CKIVAREWL30L72TNXX</t>
  </si>
  <si>
    <t>6CKIVAREWL30L72PYXX</t>
  </si>
  <si>
    <t>6CKIVAREWL30L72PNXX</t>
  </si>
  <si>
    <t>6CKIVAREWL30L84TYXX</t>
  </si>
  <si>
    <t>6CKIVAREWL30L84TNXX</t>
  </si>
  <si>
    <t>6CKIVAREWL30L84PYXX</t>
  </si>
  <si>
    <t>6CKIVAREWL30L84PNXX</t>
  </si>
  <si>
    <t>6CKIVAREWL30L96TYXX</t>
  </si>
  <si>
    <t>6CKIVAREWL30L96TNXX</t>
  </si>
  <si>
    <t>6CKIVAREWL30L96PYXX</t>
  </si>
  <si>
    <t>6CKIVAREWL30L96PNXX</t>
  </si>
  <si>
    <t>6CKIVAREWL36L60TYXX</t>
  </si>
  <si>
    <t>6CKIVAREWL36L60TNXX</t>
  </si>
  <si>
    <t>6CKIVAREWL36L60PYXX</t>
  </si>
  <si>
    <t>6CKIVAREWL36L60PNXX</t>
  </si>
  <si>
    <t>6CKIVAREWL36L72TYXX</t>
  </si>
  <si>
    <t>6CKIVAREWL36L72TNXX</t>
  </si>
  <si>
    <t>6CKIVAREWL36L72PYXX</t>
  </si>
  <si>
    <t>6CKIVAREWL36L72PNXX</t>
  </si>
  <si>
    <t>6CKIVAREWL36L84TYXX</t>
  </si>
  <si>
    <t>6CKIVAREWL36L84TNXX</t>
  </si>
  <si>
    <t>6CKIVAREWL36L84PYXX</t>
  </si>
  <si>
    <t>6CKIVAREWL36L84PNXX</t>
  </si>
  <si>
    <t>6CKIVAREWL36L96TYXX</t>
  </si>
  <si>
    <t>6CKIVAREWL36L96TNXX</t>
  </si>
  <si>
    <t>6CKIVAREWL36L96PYXX</t>
  </si>
  <si>
    <t>6CKIVAREWL36L96PNXX</t>
  </si>
  <si>
    <t>6CKIVAREWL42L60TYXX</t>
  </si>
  <si>
    <t>6CKIVAREWL42L60TNXX</t>
  </si>
  <si>
    <t>6CKIVAREWL42L60PYXX</t>
  </si>
  <si>
    <t>6CKIVAREWL42L60PNXX</t>
  </si>
  <si>
    <t>6CKIVAREWL42L72TYXX</t>
  </si>
  <si>
    <t>6CKIVAREWL42L72TNXX</t>
  </si>
  <si>
    <t>6CKIVAREWL42L72PYXX</t>
  </si>
  <si>
    <t>6CKIVAREWL42L72PNXX</t>
  </si>
  <si>
    <t>6CKIVAREWL42L84TYXX</t>
  </si>
  <si>
    <t>6CKIVAREWL42L84TNXX</t>
  </si>
  <si>
    <t>6CKIVAREWL42L84PYXX</t>
  </si>
  <si>
    <t>6CKIVAREWL42L84PNXX</t>
  </si>
  <si>
    <t>6CKIVAREWL42L96TYXX</t>
  </si>
  <si>
    <t>6CKIVAREWL42L96TNXX</t>
  </si>
  <si>
    <t>6CKIVAREWL42L96PYXX</t>
  </si>
  <si>
    <t>6CKIVAREWL42L96PNXX</t>
  </si>
  <si>
    <t>6CCLVASQPL30L30AYXX</t>
  </si>
  <si>
    <t>6CCLVASQPL36L36AYXX</t>
  </si>
  <si>
    <t>6CCLVASQPL42L42AYXX</t>
  </si>
  <si>
    <t>6CCLVAROPL30XXXAvXX</t>
  </si>
  <si>
    <t>6CCLVAROPL36XXXAvXX</t>
  </si>
  <si>
    <t>6CCLVAROPL42XXXAvXX</t>
  </si>
  <si>
    <t>KARMA</t>
  </si>
  <si>
    <t>CRESSIDA</t>
  </si>
  <si>
    <t>FAEROM METAL</t>
  </si>
  <si>
    <t>LEYTON</t>
  </si>
  <si>
    <t>ZOLA</t>
  </si>
  <si>
    <t>MILLENNIUM</t>
  </si>
  <si>
    <t>JORDAN</t>
  </si>
  <si>
    <t>FAERON METAL</t>
  </si>
  <si>
    <t>CHIT CHAT</t>
  </si>
  <si>
    <t>PRADO</t>
  </si>
  <si>
    <t>VIRTU</t>
  </si>
  <si>
    <t>ANDO</t>
  </si>
  <si>
    <t>NUVO</t>
  </si>
  <si>
    <t>Beech, Maple, Cherry</t>
  </si>
  <si>
    <t>Krug Inc.- KAR4C 42-18-21</t>
  </si>
  <si>
    <t>Beech, Maple</t>
  </si>
  <si>
    <t>Beech, Available with Brushed Nickel or Silver Metallic Leg Frame</t>
  </si>
  <si>
    <t>Rectangular,  Grade A Solid Surface Top  (Grade B &amp; C available as NON-SA upcharge), Brushed Nickel or Silver Metallic leg frame</t>
  </si>
  <si>
    <t xml:space="preserve">Rectangular, Grade A Solid Surface Top (Grade B &amp; C available as NON-SA upcharge),  </t>
  </si>
  <si>
    <t>Krug Inc.- KAR4C 36D-18</t>
  </si>
  <si>
    <t xml:space="preserve">Rectangular, Laminate  W/ Grade A Solid Surface Onlay  (Grade B &amp; C available as NON-SA upcharge),  </t>
  </si>
  <si>
    <t xml:space="preserve">Round, Laminate  W/ Grade A Solid Surface Onlay  (Grade B &amp; C available as NON-SA upcharge),  </t>
  </si>
  <si>
    <t>Round Top, HPL laminate top with PVC Edge, Standard Krug Laminate</t>
  </si>
  <si>
    <t xml:space="preserve">Round Top, Grade A Solid Surface Top (Grade B &amp; C available as NON-SA upcharge),  </t>
  </si>
  <si>
    <t>Krug Inc. - FAE4 -ME44-22-16N</t>
  </si>
  <si>
    <t>Elliptical Top, Brushed Nickel or Silver Metallic Frame, Standard Laminate</t>
  </si>
  <si>
    <t>Elliptical Top, Brushed Nickel or Silver Metallic Frame, Beech Veneer</t>
  </si>
  <si>
    <t xml:space="preserve">Elliptical Top, Brushed Nickel or Silver Metallic Frame, Grade A Solid Surface Top (Grade B &amp; C available as NON-SA upcharge),  </t>
  </si>
  <si>
    <t xml:space="preserve">Square Top, Grade A Solid Surface Top (Grade B &amp; C available as NON-SA upcharge),  </t>
  </si>
  <si>
    <t>Oak, Cherry, Maple. Walnut, Anigre Finishes, Style 2</t>
  </si>
  <si>
    <t>Krug Inc.-ZOL4 181815</t>
  </si>
  <si>
    <t>Krug Inc.-ZOL4 18D15</t>
  </si>
  <si>
    <t>Krug Inc.- ZOL4 24D15</t>
  </si>
  <si>
    <t>Square Top, Laminate sides, Grade A Solid Surface Onlay  (Grade B &amp; C available as NON-SA upcharge),</t>
  </si>
  <si>
    <t>DIAMETER</t>
  </si>
  <si>
    <t>PRIVACY SCREEN HEIGHT</t>
  </si>
  <si>
    <t>47 TO 61</t>
  </si>
  <si>
    <t>6OGWWFFSLXC2H47XYXX</t>
  </si>
  <si>
    <t>79 to 102</t>
  </si>
  <si>
    <t>42 to 60</t>
  </si>
  <si>
    <t>46 TO 64</t>
  </si>
  <si>
    <t>Group Work pods, With Sofa and Work Surface, Legs</t>
  </si>
  <si>
    <t>Grade 1 Fabric, Krug Standard HPL Laminate</t>
  </si>
  <si>
    <t>ARTEMIS WOOD &amp; LAMINATE</t>
  </si>
  <si>
    <t>V2 TABLES</t>
  </si>
  <si>
    <t>REVO TABLES</t>
  </si>
  <si>
    <t>V2 TRAINING TABLES</t>
  </si>
  <si>
    <t>NUVO CONFERENCE</t>
  </si>
  <si>
    <t>MILLENNIUM CONFERENCE</t>
  </si>
  <si>
    <t>RECTANGULAR SHAPE</t>
  </si>
  <si>
    <t>BOAT SHAPE</t>
  </si>
  <si>
    <t>RACETRACK SHAPE</t>
  </si>
  <si>
    <t>51027236 + (2) 513921325</t>
  </si>
  <si>
    <t>6802-96-42 + (2) 681528629</t>
  </si>
  <si>
    <t>RECTANGULAR SHAPE - LARGE WOOD</t>
  </si>
  <si>
    <t>RECTANGULAR SHAPE - LARGE LAMINATE</t>
  </si>
  <si>
    <t>516114448 + (3) 513921325</t>
  </si>
  <si>
    <t>BOAT SHAPE - LARGE LAMINATE</t>
  </si>
  <si>
    <t>51641444842 + (3) 513921325</t>
  </si>
  <si>
    <t>BOAT SHAPE - LARGE WOOD</t>
  </si>
  <si>
    <t>RACETRACK SHAPE - LARGE LAMIINATE</t>
  </si>
  <si>
    <t>510216848 + (3) 513921325</t>
  </si>
  <si>
    <t>RACETRACK SHAPE - LARGE WOOD</t>
  </si>
  <si>
    <t>61THRT-7224-MX23</t>
  </si>
  <si>
    <t>59THRT6024TBCW1F62</t>
  </si>
  <si>
    <t>TRAPEZOID SHAPE</t>
  </si>
  <si>
    <t>HALF ROUND SHAPE</t>
  </si>
  <si>
    <t>61THTZ482424-MX23</t>
  </si>
  <si>
    <t>61THDH-4224-MX23</t>
  </si>
  <si>
    <t>59THTZ4824TBCW1F62</t>
  </si>
  <si>
    <t>RECTANGULAR SHAPE - FLIP TOP</t>
  </si>
  <si>
    <t>TRAPEZOID SHAPE - FLIP TOP</t>
  </si>
  <si>
    <t>HALF ROUND SHAPE - FLIP TOP</t>
  </si>
  <si>
    <t>OPEN VISIO SHAPE</t>
  </si>
  <si>
    <t>CLOSED VISIO SHAPE - PANEL BASE</t>
  </si>
  <si>
    <t>CLOSED VISIO SHAPE - SQUARE BASE</t>
  </si>
  <si>
    <t xml:space="preserve"> 59THDH5424CBFPGW1F62</t>
  </si>
  <si>
    <t xml:space="preserve"> 59THTZ4824CBFPCW1F62</t>
  </si>
  <si>
    <t xml:space="preserve"> 59THRT4824TBFPCW1F62</t>
  </si>
  <si>
    <t>59THDH5424CBC1WF62</t>
  </si>
  <si>
    <t>Full Height Laminate Credenza</t>
  </si>
  <si>
    <t>ZOLA PRIVACY</t>
  </si>
  <si>
    <t>KAR4C 42-18-21</t>
  </si>
  <si>
    <t xml:space="preserve"> LEY4422416</t>
  </si>
  <si>
    <t>ZOL4 482415</t>
  </si>
  <si>
    <t>FAE4-M44-22-16N</t>
  </si>
  <si>
    <t>CRE4D 422216</t>
  </si>
  <si>
    <t>6800-48-18-16</t>
  </si>
  <si>
    <t>JOR4-42-22-16</t>
  </si>
  <si>
    <t>ZOL4-30D15</t>
  </si>
  <si>
    <t>KAR4C 36D-18</t>
  </si>
  <si>
    <t>5612-42-24-16</t>
  </si>
  <si>
    <t>FAE4-ME44-22-16N</t>
  </si>
  <si>
    <t>ZOL4 242415</t>
  </si>
  <si>
    <t>72053042DB</t>
  </si>
  <si>
    <t>7261303042SQ</t>
  </si>
  <si>
    <t>54TB723042 - BAR HEIGHT</t>
  </si>
  <si>
    <t>54TC723036 - COUNTER HEIGHT</t>
  </si>
  <si>
    <t>SQUARE &amp; ROUND TOPS</t>
  </si>
  <si>
    <t>ANDO TABLES</t>
  </si>
  <si>
    <t>BAR &amp; COUNTER HEIGHT</t>
  </si>
  <si>
    <t>OCCASIONAL TABLES</t>
  </si>
  <si>
    <t>Soft Seating, Banquette with backrest bolster, Individual, Upholstered, Legs, Low Back with Privacy Screen and Arms</t>
  </si>
  <si>
    <t>Soft Seating, Banquette with backrest bolster, Individual, Upholstered, Legs, Low Back with Privacy Screen, No Arms</t>
  </si>
  <si>
    <t>Soft Seating, Banquette with backrest bolster, Individual, Upholstered, Legs, Mid Back with Privacy Screen and Arms</t>
  </si>
  <si>
    <t>Soft Seating, Banquette with backrest bolster, Individual, Upholstered, Legs, Mid Back with Privacy Screen, No Arms</t>
  </si>
  <si>
    <t>Soft Seating, Banquette with backrest bolster, Individual, Upholstered, Legs, Mid Back, No Privacy Screen and Arms</t>
  </si>
  <si>
    <t>Soft Seating, Banquette with backrest bolster, Individual, Upholstered, Legs, Mid Back, No Privacy Screen, No Arms</t>
  </si>
  <si>
    <t>Soft Seating, Banquette with backrest bolster, Individual, Upholstered, Base Support, Low Back with Privacy Screen and Arms</t>
  </si>
  <si>
    <t>Soft Seating, Banquette with backrest bolster, Individual, Upholstered, Base Support, Low Back with Privacy Screen, No Arms</t>
  </si>
  <si>
    <t>Soft Seating, Banquette with backrest bolster, Individual, Upholstered, Base Support, Mid Back with Privacy Screen and Arms</t>
  </si>
  <si>
    <t>Soft Seating, Banquette with backrest bolster, Individual, Upholstered, Base Support, Mid Back with Privacy Screen, No Arms</t>
  </si>
  <si>
    <t>Soft Seating, Banquette with backrest bolster, Individual, Upholstered, Base Support, Mid Back, No Privacy Screen and Arms</t>
  </si>
  <si>
    <t>Soft Seating, Banquette with backrest bolster, Individual, Upholstered, Base Support, Mid Back, No Privacy Screen, No Arms</t>
  </si>
  <si>
    <t>Soft Seating, Banquette without backrest bolster, Individual, Upholstered, Legs, Low Back with Privacy Screen and Arms</t>
  </si>
  <si>
    <t>Soft Seating, Banquette without backrest bolster, Individual, Upholstered, Legs, Low Back with Privacy Screen, No Arms</t>
  </si>
  <si>
    <t>Soft Seating, Banquette without backrest bolster, Individual, Upholstered, Legs, Mid Back with Privacy Screen and Arms</t>
  </si>
  <si>
    <t>Soft Seating, Banquette without backrest bolster, Individual, Upholstered, Legs, Mid Back with Privacy Screen, No Arms</t>
  </si>
  <si>
    <t>Soft Seating, Banquette without backrest bolster, Individual, Upholstered, Legs, Mid Back, No Privacy Screen and Arms</t>
  </si>
  <si>
    <t>Soft Seating, Banquette without backrest bolster, Individual, Upholstered, Legs, Mid Back, No Privacy Screen, No Arms</t>
  </si>
  <si>
    <t>Soft Seating, Banquette without backrest bolster, Individual, Upholstered, Base Support, Low Back with Privacy Screen and Arms</t>
  </si>
  <si>
    <t>Soft Seating, Banquette without backrest bolster, Individual, Upholstered, Base Support, Low Back with Privacy Screen, No Arms</t>
  </si>
  <si>
    <t>Soft Seating, Banquette without backrest bolster, Individual, Upholstered, Base Support, Mid Back with Privacy Screen and Arms</t>
  </si>
  <si>
    <t>Soft Seating, Banquette without backrest bolster, Individual, Upholstered, Base Support, Mid Back with Privacy Screen, No Arms</t>
  </si>
  <si>
    <t>Soft Seating, Banquette without backrest bolster, Individual, Upholstered, Base Support, Mid Back, No Privacy Screen and Arms</t>
  </si>
  <si>
    <t>Soft Seating, Banquette without backrest bolster, Individual, Upholstered, Base Support, Mid Back, No Privacy Screen, No Arms</t>
  </si>
  <si>
    <t>Soft Seating, Banquette with backrest bolster, Two Seater, Upholstered, Legs, Low Back with Privacy Screen and Arms</t>
  </si>
  <si>
    <t>Soft Seating, Banquette with backrest bolster, Two Seater, Upholstered, Legs, Low Back with Privacy Screen, No Arms</t>
  </si>
  <si>
    <t>Soft Seating, Banquette with backrest bolster, Two Seater, Upholstered, Legs, Mid Back with Privacy Screen and Arms</t>
  </si>
  <si>
    <t>Soft Seating, Banquette with backrest bolster, Two Seater, Upholstered, Legs, Mid Back with Privacy Screen, No Arms</t>
  </si>
  <si>
    <t>Soft Seating, Banquette with backrest bolster, Two Seater, Upholstered, Legs, Mid Back, No Privacy Screen and Arms</t>
  </si>
  <si>
    <t>Soft Seating, Banquette with backrest bolster, Two Seater, Upholstered, Legs, Mid Back, No Privacy Screen, No Arms</t>
  </si>
  <si>
    <t>Soft Seating, Banquette with backrest bolster, Two Seater, Upholstered, Base Support, Low Back with Privacy Screen and Arms</t>
  </si>
  <si>
    <t>Soft Seating, Banquette with backrest bolster, Two Seater, Upholstered, Base Support, Low Back with Privacy Screen, No Arms</t>
  </si>
  <si>
    <t>Soft Seating, Banquette with backrest bolster, Two Seater, Upholstered, Base Support, Mid Back with Privacy Screen and Arms</t>
  </si>
  <si>
    <t>Soft Seating, Banquette with backrest bolster, Two Seater, Upholstered, Base Support, Mid Back with Privacy Screen, No Arms</t>
  </si>
  <si>
    <t>Soft Seating, Banquette with backrest bolster, Two Seater, Upholstered, Base Support, Mid Back, No Privacy Screen and Arms</t>
  </si>
  <si>
    <t>Soft Seating, Banquette with backrest bolster, Two Seater, Upholstered, Base Support, Mid Back, No Privacy Screen, No Arms</t>
  </si>
  <si>
    <t>Soft Seating, Banquette without backrest bolster, Two Seater, Upholstered, Legs, Low Back with Privacy Screen and Arms</t>
  </si>
  <si>
    <t>Soft Seating, Banquette without backrest bolster, Two Seater, Upholstered, Legs, Low Back with Privacy Screen, No Arms</t>
  </si>
  <si>
    <t>Soft Seating, Banquette without backrest bolster, Two Seater, Upholstered, Legs, Mid Back with Privacy Screen and Arms</t>
  </si>
  <si>
    <t>Soft Seating, Banquette without backrest bolster, Two Seater, Upholstered, Legs, Mid Back with Privacy Screen, No Arms</t>
  </si>
  <si>
    <t>Soft Seating, Banquette without backrest bolster, Two Seater, Upholstered, Legs, Mid Back, No Privacy Screen and Arms</t>
  </si>
  <si>
    <t>Soft Seating, Banquette without backrest bolster, Two Seater, Upholstered, Legs, Mid Back, No Privacy Screen, No Arms</t>
  </si>
  <si>
    <t>Soft Seating, Banquette without backrest bolster, Two Seater, Upholstered, Base Support, Low Back with Privacy Screen and Arms</t>
  </si>
  <si>
    <t>Soft Seating, Banquette without backrest bolster, Two Seater, Upholstered, Base Support, Low Back with Privacy Screen, No Arms</t>
  </si>
  <si>
    <t>Soft Seating, Banquette without backrest bolster, Two Seater, Upholstered, Base Support, Mid Back with Privacy Screen and Arms</t>
  </si>
  <si>
    <t>Soft Seating, Banquette without backrest bolster, Two Seater, Upholstered, Base Support, Mid Back with Privacy Screen, No Arms</t>
  </si>
  <si>
    <t>Soft Seating, Banquette without backrest bolster, Two Seater, Upholstered, Base Support, Mid Back, No Privacy Screen and Arms</t>
  </si>
  <si>
    <t>Soft Seating, Banquette without backrest bolster, Two Seater, Upholstered, Base Support, Mid Back, No Privacy Screen, No Arms</t>
  </si>
  <si>
    <t>Soft Seating, Banquette with backrest bolster, Three Seater, Upholstered, Legs, Low Back with Privacy Screen and Arms</t>
  </si>
  <si>
    <t>Soft Seating, Banquette with backrest bolster, Three Seater, Upholstered, Legs, Low Back with Privacy Screen, No Arms</t>
  </si>
  <si>
    <t>Soft Seating, Banquette with backrest bolster, Three Seater, Upholstered, Legs, Mid Back with Privacy Screen and Arms</t>
  </si>
  <si>
    <t>Soft Seating, Banquette with backrest bolster, Three Seater, Upholstered, Legs, Mid Back with Privacy Screen, No Arms</t>
  </si>
  <si>
    <t>Soft Seating, Banquette with backrest bolster, Three Seater, Upholstered, Legs, Mid Back, No Privacy Screen and Arms</t>
  </si>
  <si>
    <t>Soft Seating, Banquette with backrest bolster, Three Seater, Upholstered, Legs, Mid Back, No Privacy Screen, No Arms</t>
  </si>
  <si>
    <t>Soft Seating, Banquette with backrest bolster, Three Seater, Upholstered, Base Support, Low Back with Privacy Screen and Arms</t>
  </si>
  <si>
    <t>Soft Seating, Banquette with backrest bolster, Three Seater, Upholstered, Base Support, Low Back with Privacy Screen, No Arms</t>
  </si>
  <si>
    <t>Soft Seating, Banquette with backrest bolster, Three Seater, Upholstered, Base Support, Mid Back with Privacy Screen and Arms</t>
  </si>
  <si>
    <t>Soft Seating, Banquette with backrest bolster, Three Seater, Upholstered, Base Support, Mid Back with Privacy Screen, No Arms</t>
  </si>
  <si>
    <t>Soft Seating, Banquette with backrest bolster, Three Seater, Upholstered, Base Support, Mid Back, No Privacy Screen and Arms</t>
  </si>
  <si>
    <t>Soft Seating, Banquette with backrest bolster, Three Seater, Upholstered, Base Support, Mid Back, No Privacy Screen, No Arms</t>
  </si>
  <si>
    <t>Soft Seating, Banquette without backrest bolster, Three Seater, Upholstered, Legs, Low Back with Privacy Screen and Arms</t>
  </si>
  <si>
    <t>Soft Seating, Banquette without backrest bolster, Three Seater, Upholstered, Legs, Low Back with Privacy Screen, No Arms</t>
  </si>
  <si>
    <t>Soft Seating, Banquette without backrest bolster, Three Seater, Upholstered, Legs, Mid Back with Privacy Screen and Arms</t>
  </si>
  <si>
    <t>Soft Seating, Banquette without backrest bolster, Three Seater, Upholstered, Legs, Mid Back with Privacy Screen, No Arms</t>
  </si>
  <si>
    <t>Soft Seating, Banquette without backrest bolster, Three Seater, Upholstered, Legs, Mid Back, No Privacy Screen and Arms</t>
  </si>
  <si>
    <t>Soft Seating, Banquette without backrest bolster, Three Seater, Upholstered, Legs, Mid Back, No Privacy Screen, No Arms</t>
  </si>
  <si>
    <t>Soft Seating, Banquette without backrest bolster, Three Seater, Upholstered, Base Support, Low Back with Privacy Screen and Arms</t>
  </si>
  <si>
    <t>Soft Seating, Banquette without backrest bolster, Three Seater, Upholstered, Base Support, Low Back with Privacy Screen, No Arms</t>
  </si>
  <si>
    <t>Soft Seating, Banquette without backrest bolster, Three Seater, Upholstered, Base Support, Mid Back with Privacy Screen and Arms</t>
  </si>
  <si>
    <t>Soft Seating, Banquette without backrest bolster, Three Seater, Upholstered, Base Support, Mid Back with Privacy Screen, No Arms</t>
  </si>
  <si>
    <t>Soft Seating, Banquette without backrest bolster, Three Seater, Upholstered, Base Support, Mid Back, No Privacy Screen and Arms</t>
  </si>
  <si>
    <t>Soft Seating, Banquette without backrest bolster, Three Seater, Upholstered, Base Support, Mid Back, No Privacy Screen, No Arms</t>
  </si>
  <si>
    <t>Min 27" Height</t>
  </si>
  <si>
    <t>Soft Seating, Sofas, Two Seater, Upholstered, Legs, with Arms</t>
  </si>
  <si>
    <t>Soft Seating, Sofas, Two Seater, Upholstered, Legs, no Arms</t>
  </si>
  <si>
    <t>Soft Seating, Lounge Chairs, Upholstered, with Arms, Fixed Base</t>
  </si>
  <si>
    <t xml:space="preserve">Soft Seating, Lounge Chairs, Upholstered, No Arms, Fixed Base </t>
  </si>
  <si>
    <t>Back Height 27" to 33"</t>
  </si>
  <si>
    <t>Soft Seating, Sofas, Two Seater, Upholstered, Base Support, with Arms</t>
  </si>
  <si>
    <t>Soft Seating, Sofas, Two Seater, Upholstered, Base Support, no Arms</t>
  </si>
  <si>
    <t>Soft Seating, Sofas, Three Seater, Upholstered, Legs, with Arms</t>
  </si>
  <si>
    <t>Soft Seating, Sofas, Three Seater, Upholstered, Legs, no Arms</t>
  </si>
  <si>
    <t>Soft Seating, Sofas, Three Seater, Upholstered, Base Support, with Arms</t>
  </si>
  <si>
    <t>Soft Seating, Sofas, Three Seater, Upholstered, Base Support, no Arms</t>
  </si>
  <si>
    <t>Soft Seating, Tablet Chairs, with Right Arm, Upholstered, Legs</t>
  </si>
  <si>
    <t>Soft Seating, Tablet Chairs, with Left Arm, Upholstered, Legs</t>
  </si>
  <si>
    <t>Soft Seating, Tablet Chairs, no Arms, Upholstered, Legs</t>
  </si>
  <si>
    <t>Soft Seating, Upholstered Ottoman, Small Round, Legs</t>
  </si>
  <si>
    <t>Soft Seating, Upholstered Ottoman, Medium Round, Legs</t>
  </si>
  <si>
    <t>Soft Seating, Upholstered Ottoman, Large Round, Legs</t>
  </si>
  <si>
    <t>Min 24"Dia, Height 16 to 19"</t>
  </si>
  <si>
    <t>Min 36"Dia, Height 16 to 19"</t>
  </si>
  <si>
    <t>Min 48"Dia, Height 16 to 19"</t>
  </si>
  <si>
    <t>Soft Seating, Upholstered Ottoman, Small Square, Legs</t>
  </si>
  <si>
    <t>Soft Seating, Upholstered Ottoman, Medium Square, Legs</t>
  </si>
  <si>
    <t>Soft Seating, Upholstered Ottoman, Large Square, Legs</t>
  </si>
  <si>
    <t>Min 24" Depth, 24" Width, Height 16 to 19"</t>
  </si>
  <si>
    <t>Min 36" Depth, 36" Width, Height 16 to 19"</t>
  </si>
  <si>
    <t>Min 48" Depth, 48" Width, Height 16 to 19"</t>
  </si>
  <si>
    <t>Soft Seating, Upholstered Stool with casters, Round, Legs</t>
  </si>
  <si>
    <t>Soft Seating, Upholstered Stool with casters, Square, Legs</t>
  </si>
  <si>
    <t>Soft Seating, Upholstered Stool without casters, Round, Legs</t>
  </si>
  <si>
    <t>Soft Seating, Upholstered Stool without casters, Square, Legs</t>
  </si>
  <si>
    <t>Soft Seating, Modular Benching, Rectilinear, Upholstered, Legs, No Arms, No Power, No Back</t>
  </si>
  <si>
    <t>Soft Seating, Modular Benching, Rectilinear, Upholstered, Legs, No Arms, No Power, With Back</t>
  </si>
  <si>
    <t>Soft Seating, Modular Benching, Rectilinear, Upholstered, Legs, No Arms, With Power, No Back, Side Table</t>
  </si>
  <si>
    <t>Soft Seating, Modular Benching, Rectilinear, Upholstered, Legs, No Arms, With Power, With Back, Side Table</t>
  </si>
  <si>
    <t>Soft Seating, Modular Benching, Curvilinear, Upholstered, Legs, No Arms, No Power, No Back</t>
  </si>
  <si>
    <t>Soft Seating, Modular Benching, Curvilinear, Upholstered, Legs, No Arms, No Power, With Back</t>
  </si>
  <si>
    <t>Soft Seating, Modular Benching, Curvilinear, Upholstered, Legs, No Arms, With Power, No Back, Side Table</t>
  </si>
  <si>
    <t>Soft Seating, Modular Benching, Curvilinear, Upholstered, Legs, No Arms, With Power, With Back, Side Table</t>
  </si>
  <si>
    <t>Depth &gt;19, Height 16 to 19</t>
  </si>
  <si>
    <t>Product Options Included</t>
  </si>
  <si>
    <t>Type of Product</t>
  </si>
  <si>
    <t>Fabric Grade 1</t>
  </si>
  <si>
    <t>Fabric Grade 1, Casters</t>
  </si>
  <si>
    <t>Fabric Grade 1 Bench, Flush Mount Power, Laminate Side Table</t>
  </si>
  <si>
    <t>ZOLA MODULAR</t>
  </si>
  <si>
    <t xml:space="preserve">ZOLA </t>
  </si>
  <si>
    <t>ZOLA SEATABLES</t>
  </si>
  <si>
    <t>ZOLA / ZOLA PRIVACY</t>
  </si>
  <si>
    <t>Seat Height 16 to 21"</t>
  </si>
  <si>
    <t>ZOP3-M1M2 + ZOP3-MAUPHL + ZOP3-MAUPHR</t>
  </si>
  <si>
    <t>Krug Model # included in SA Net price</t>
  </si>
  <si>
    <t xml:space="preserve">ZOP3-M1M2 </t>
  </si>
  <si>
    <t>ZOP3-M1F2 + ZOP3-MAUPHL + ZOP3-MAUPHR</t>
  </si>
  <si>
    <t xml:space="preserve">ZOP3-M1F2 </t>
  </si>
  <si>
    <t>ZOP3-M1F0 + ZOP3-MAUPHL + ZOP3-MAUPHR</t>
  </si>
  <si>
    <t>ZOP3-M1F0</t>
  </si>
  <si>
    <t>SPAZOP3-M1M2 + ZOP3-MAUPHL + ZOP3-MAUPHR</t>
  </si>
  <si>
    <t xml:space="preserve">SPAZOP3-M1M2 </t>
  </si>
  <si>
    <t>SPAZOP3-M1F2 + ZOP3-MAUPHL + ZOP3-MAUPHR</t>
  </si>
  <si>
    <t xml:space="preserve">SPAZOP3-M1F2 </t>
  </si>
  <si>
    <t>SPAZOP3-M1F0 + ZOP3-MAUPHL + ZOP3-MAUPHR</t>
  </si>
  <si>
    <t>SPAZOP3-M1F0</t>
  </si>
  <si>
    <t>ZOP3-M2M2 + ZOP3-MAUPHL + ZOP3-MAUPHR</t>
  </si>
  <si>
    <t xml:space="preserve">ZOP3-M2M2 </t>
  </si>
  <si>
    <t>ZOP3-M2F2 + ZOP3-MAUPHL + ZOP3-MAUPHR</t>
  </si>
  <si>
    <t xml:space="preserve">ZOP3-M2F2 </t>
  </si>
  <si>
    <t>ZOP3-M2F0 + ZOP3-MAUPHL + ZOP3-MAUPHR</t>
  </si>
  <si>
    <t>ZOP3-M2F0</t>
  </si>
  <si>
    <t>SPAZOP3-M2M2 + ZOP3-MAUPHL + ZOP3-MAUPHR</t>
  </si>
  <si>
    <t xml:space="preserve">SPAZOP3-M2M2 </t>
  </si>
  <si>
    <t>SPAZOP3-M2F2 + ZOP3-MAUPHL + ZOP3-MAUPHR</t>
  </si>
  <si>
    <t xml:space="preserve">SPAZOP3-M2F2 </t>
  </si>
  <si>
    <t>SPAZOP3-M2F0 + ZOP3-MAUPHL + ZOP3-MAUPHR</t>
  </si>
  <si>
    <t>SPAZOP3-M2F0</t>
  </si>
  <si>
    <t>ZOP3-M3M2 + ZOP3-MAUPHL + ZOP3-MAUPHR</t>
  </si>
  <si>
    <t xml:space="preserve">ZOP3-M3M2 </t>
  </si>
  <si>
    <t>ZOP3-M3F2 + ZOP3-MAUPHL + ZOP3-MAUPHR</t>
  </si>
  <si>
    <t xml:space="preserve">ZOP3-M3F2 </t>
  </si>
  <si>
    <t>ZOP3-M3F0 + ZOP3-MAUPHL + ZOP3-MAUPHR</t>
  </si>
  <si>
    <t>ZOP3-M3F0</t>
  </si>
  <si>
    <t>SPAZOP3-M3M2 + ZOP3-MAUPHL + ZOP3-MAUPHR</t>
  </si>
  <si>
    <t xml:space="preserve">SPAZOP3-M3M2 </t>
  </si>
  <si>
    <t>SPAZOP3-M3F2 + ZOP3-MAUPHL + ZOP3-MAUPHR</t>
  </si>
  <si>
    <t xml:space="preserve">SPAZOP3-M3F2 </t>
  </si>
  <si>
    <t>SPAZOP3-M3F0 + ZOP3-MAUPHL + ZOP3-MAUPHR</t>
  </si>
  <si>
    <t>SPAZOP3-M3F0</t>
  </si>
  <si>
    <t>CAR312</t>
  </si>
  <si>
    <t>LEY31NUN</t>
  </si>
  <si>
    <t>CAR322</t>
  </si>
  <si>
    <t>LEY32NUN</t>
  </si>
  <si>
    <t>CAR332</t>
  </si>
  <si>
    <t>LEY33NUN</t>
  </si>
  <si>
    <t>SPAZOL3-M2111</t>
  </si>
  <si>
    <t>SPAZOL3-M2101</t>
  </si>
  <si>
    <t>SPAZOL3-M3111</t>
  </si>
  <si>
    <t>SPAZOL3-M3101</t>
  </si>
  <si>
    <t>ZOL3-M1101+ZOL3 T4+ZOL3-MAR</t>
  </si>
  <si>
    <t>ZOL5-24D</t>
  </si>
  <si>
    <t>ZOL5-2424</t>
  </si>
  <si>
    <t xml:space="preserve">ZOL5-30D </t>
  </si>
  <si>
    <t>ZOL3 MS3F1</t>
  </si>
  <si>
    <t>Fabric Grade 1 Bench; 1-,2- OR 3-Seater</t>
  </si>
  <si>
    <t>Fabric Grade 1 Bench, Single or Double Seat</t>
  </si>
  <si>
    <t>ZOL3 MCD90DF1</t>
  </si>
  <si>
    <t>ZOP3-M3F0F</t>
  </si>
  <si>
    <t>ZOP3-MCID90DF0F</t>
  </si>
  <si>
    <t>ZOL3 MS3F1+POWERDOC2+ZOL4-LKE24</t>
  </si>
  <si>
    <t>ZOP3-M3F0F+POWERDOC2+ZOL4-LKE24</t>
  </si>
  <si>
    <t>Fabric Grade 1 Bench, Undermount Power, Laminate Side Table</t>
  </si>
  <si>
    <t>ZOL3 MCD90DF1+POWERDOC1+ZOL4-LKE24</t>
  </si>
  <si>
    <t>ZOP3-MCID90DF0F+POWERDOC1+ZOL4-LKE24</t>
  </si>
  <si>
    <t>BANQUETTE SEATING</t>
  </si>
  <si>
    <t>LOUNGE SEATING</t>
  </si>
  <si>
    <t>OTTOMANS</t>
  </si>
  <si>
    <t>MODULAR BENCHING</t>
  </si>
  <si>
    <t>76C4224L2117R2117</t>
  </si>
  <si>
    <t>76C4220L2111R2111</t>
  </si>
  <si>
    <t>76C5418L2711R2717</t>
  </si>
  <si>
    <t>72C4224L2117R2117</t>
  </si>
  <si>
    <t>72C4220L2111R2111</t>
  </si>
  <si>
    <t>72C5418L2711R2717</t>
  </si>
  <si>
    <t>6804-96-42-36 + (2) PANEL BASES</t>
  </si>
  <si>
    <t>51619636 + (2) PANEL BASES + CONSOLE 27"</t>
  </si>
  <si>
    <t>61THRT-6030</t>
  </si>
  <si>
    <t>SPAZOL5-36D</t>
  </si>
  <si>
    <t>SPAZOL5-48D</t>
  </si>
  <si>
    <t>SPAZOL5-3636</t>
  </si>
  <si>
    <t>SPAZOL5-4848</t>
  </si>
  <si>
    <t>SUTTON</t>
  </si>
  <si>
    <t>SLOANE</t>
  </si>
  <si>
    <t>CARLYLE</t>
  </si>
  <si>
    <t>BRIO</t>
  </si>
  <si>
    <t>AVATAR</t>
  </si>
  <si>
    <t>FAERON</t>
  </si>
  <si>
    <t>ZOL3 M1111</t>
  </si>
  <si>
    <t>LEY31NUF</t>
  </si>
  <si>
    <t>SUT3-1-1-1</t>
  </si>
  <si>
    <t>SLO3-10</t>
  </si>
  <si>
    <t>4100-1</t>
  </si>
  <si>
    <t>AVA3-1</t>
  </si>
  <si>
    <t>FAE3-UL1NCW</t>
  </si>
  <si>
    <t>JOR3-1URE</t>
  </si>
  <si>
    <t>AVA3-0</t>
  </si>
  <si>
    <t>FAE3-AL1F</t>
  </si>
  <si>
    <t>FEARON</t>
  </si>
  <si>
    <t>SLO3-20</t>
  </si>
  <si>
    <t>SLO3-30</t>
  </si>
  <si>
    <t>SUT3-2-1-1</t>
  </si>
  <si>
    <t>SUT3-3-1-1</t>
  </si>
  <si>
    <t>4100-2</t>
  </si>
  <si>
    <t>4100-3</t>
  </si>
  <si>
    <t>FAE3-UL2NCW</t>
  </si>
  <si>
    <t>FAE3-UL3NCW</t>
  </si>
  <si>
    <t>FAE3-AL2F</t>
  </si>
  <si>
    <t>FAE3-AL3F</t>
  </si>
  <si>
    <t>LEY33NUF</t>
  </si>
  <si>
    <t>JOR3-3URE</t>
  </si>
  <si>
    <t>JOR3-2URE</t>
  </si>
  <si>
    <t>LEY32NUF</t>
  </si>
  <si>
    <t>Seat Depth &gt;19, Seat Height 16 to 20</t>
  </si>
  <si>
    <t>51CONSOLE -X27</t>
  </si>
  <si>
    <t>3 GANG BASIC DATA CONNEXUS</t>
  </si>
  <si>
    <t xml:space="preserve">5164964842 + (2) PANEL BASES </t>
  </si>
  <si>
    <t xml:space="preserve"> 6801-120-48 + (3) PANEL BASES </t>
  </si>
  <si>
    <t xml:space="preserve"> BASIC DATA CONNEXUS</t>
  </si>
  <si>
    <t>51CONSOLE-X27</t>
  </si>
  <si>
    <t>51581446042 with Panel Bases</t>
  </si>
  <si>
    <t>51581446042 with Square Bases</t>
  </si>
  <si>
    <t>6OPLWLFSLXC3H46XYTA</t>
  </si>
  <si>
    <t>Individual Private Lounge Chairs, With Lounge Chair and Tablet Arm, 4 Post Legs</t>
  </si>
  <si>
    <t>2021 List Pricing</t>
  </si>
  <si>
    <t>2022 List Pricing</t>
  </si>
  <si>
    <t>COR5-31C</t>
  </si>
  <si>
    <t>COR5-61C</t>
  </si>
  <si>
    <t>ZOP3-MCIS60DF + ZOP3 MPF0S + ZOP3-MSPF0E +  ZOL3-LT4</t>
  </si>
  <si>
    <t>ZOL3 M1101</t>
  </si>
  <si>
    <t>ZOL3 M2111</t>
  </si>
  <si>
    <t>ZOL3 M3111</t>
  </si>
  <si>
    <t>ZOL3 M3101</t>
  </si>
  <si>
    <t>ZOL3 M2101</t>
  </si>
  <si>
    <t>ZOL3 M1101+ZOL3 T4</t>
  </si>
  <si>
    <t>ZOL3 M1101+ZOL3 T4+ZOL3-MAL</t>
  </si>
  <si>
    <t>2019 List Pricing</t>
  </si>
  <si>
    <t>2023 List Price</t>
  </si>
  <si>
    <t>2023 SA Ceiling Price</t>
  </si>
  <si>
    <t>Dual Fabric Grade 1, Privacy Screen, Modular Arms</t>
  </si>
  <si>
    <t xml:space="preserve">Dual Fabric Grade 1, Privacy Screen, </t>
  </si>
  <si>
    <t>Dual Fabric Grade 1, Modular Arms</t>
  </si>
  <si>
    <t xml:space="preserve">Dual Fabric Grade 1, </t>
  </si>
  <si>
    <t>Dual Fabric Grade 1, Privacy Screen, Modular Arms, Plinth Base</t>
  </si>
  <si>
    <t>Dual Fabric Grade 1, Privacy Screen, Plinth Base</t>
  </si>
  <si>
    <t>Dual Fabric Grade 1, Modular Arms, Plinth Base</t>
  </si>
  <si>
    <t>Dual Fabric Grade 1, Plinth Base</t>
  </si>
  <si>
    <t>Dual Fabric Grade 1, Silver Metallic Legs</t>
  </si>
  <si>
    <t>Dual Fabric Grade 1, Upholstered or Wood Surround, Polished Chrome Legs</t>
  </si>
  <si>
    <t>Dual Fabric Grade 1, Upholstered or Wood Surround, Wood or Metal Base Legs</t>
  </si>
  <si>
    <t>Dual Fabric Grade 1, Metal Legs, Standard or Top Stitching Upholstery with Buttons</t>
  </si>
  <si>
    <t>Dual Fabric Grade 1, Wood or Metal Legs</t>
  </si>
  <si>
    <t>Dual Fabric Grade 1, Maple wood legs</t>
  </si>
  <si>
    <t xml:space="preserve">Dual Fabric Grade 1, Polished Crhome aluminum foot </t>
  </si>
  <si>
    <t>Dual Fabric Grade 1,  Beech wood, Upholstered/Wood Arm</t>
  </si>
  <si>
    <t>Dual Fabric Grade 1,  Beech or Maple wood, Urethane/Wood/Upholstered Arm</t>
  </si>
  <si>
    <t>Dual Fabric Grade 1,  Beech wood</t>
  </si>
  <si>
    <t xml:space="preserve">Dual Fabric Grade 1,  Beech wood, </t>
  </si>
  <si>
    <t>Dual Fabric Grade 1,  Silver Metallic Legs</t>
  </si>
  <si>
    <t>Dual Fabric Grade 1,  Laminate Tablet, Modular Arm</t>
  </si>
  <si>
    <t xml:space="preserve">Dual Fabric Grade 1,  Laminate Tablet, </t>
  </si>
  <si>
    <t>Dual Fabric Grade 1 Seat with Back, 1-,2- OR 3-Seater</t>
  </si>
  <si>
    <t>Dual Fabric Grade 1 Seat with Back, Flush Mount Power, Laminate Side Table</t>
  </si>
  <si>
    <t>Dual Fabric Grade 1 Seat with Back, Single or Double Seat</t>
  </si>
  <si>
    <t>Dual Fabric Grade 1 Seat with Back, Undermount Power, Laminate Side Table</t>
  </si>
  <si>
    <t>KAR2C-18.5C_WNAD</t>
  </si>
  <si>
    <t>KAR2C-18.5C_W_D</t>
  </si>
  <si>
    <t>2023 List Pricing with Greenguard</t>
  </si>
  <si>
    <t>2023 List Pricing</t>
  </si>
  <si>
    <t>Greenguard Finish included in Laminate</t>
  </si>
  <si>
    <t>Greenguard Finish on Wood included with 8% upcharge</t>
  </si>
  <si>
    <t>Krug Inc.-72053636DB</t>
  </si>
  <si>
    <t>Greenguard finish included in laminate</t>
  </si>
  <si>
    <t>Greenguard included with 11% upcharge</t>
  </si>
  <si>
    <t>Krug Inc.- 510542</t>
  </si>
  <si>
    <t>Grade 1 Fabric, Krug Standard HPL Laminate, Power included, Leg for Media Runoff included</t>
  </si>
  <si>
    <t>6MMTMDREOL36L60WYNX</t>
  </si>
  <si>
    <t>6MMTMDREOL36L66WYNX</t>
  </si>
  <si>
    <t>6MMTMDREOL36L72WYNX</t>
  </si>
  <si>
    <t>6MMTMDREOL36L78WYNX</t>
  </si>
  <si>
    <t>6MMTMDREOL36L84WYNX</t>
  </si>
  <si>
    <t>6MMTMDREOL36L90WYNX</t>
  </si>
  <si>
    <t>6MMTMDREOL36L96WYNX</t>
  </si>
  <si>
    <t>6MMTMDREOL36102WYNX</t>
  </si>
  <si>
    <t>6MMTMDREOL36108WYNX</t>
  </si>
  <si>
    <t>6MMTMDREOL36114WYNX</t>
  </si>
  <si>
    <t>6MMTMDREOL36120WYNX</t>
  </si>
  <si>
    <t>6MMTMDREOL42L60WYNX</t>
  </si>
  <si>
    <t>6MMTMDREOL42L66WYNX</t>
  </si>
  <si>
    <t>6MMTMDREOL42L72WYNX</t>
  </si>
  <si>
    <t>6MMTMDREOL42L78WYNX</t>
  </si>
  <si>
    <t>6MMTMDREOL42L84WYNX</t>
  </si>
  <si>
    <t>6MMTMDREOL42L90WYNX</t>
  </si>
  <si>
    <t>6MMTMDREOL42L96WYNX</t>
  </si>
  <si>
    <t>6MMTMDREOL42102WYNX</t>
  </si>
  <si>
    <t>6MMTMDREOL42108WYNX</t>
  </si>
  <si>
    <t>6MMTMDREOL42114WYNX</t>
  </si>
  <si>
    <t>6MMTMDREOL42120WYNX</t>
  </si>
  <si>
    <t>6MMTMDREOL48L60WYNX</t>
  </si>
  <si>
    <t>6MMTMDREOL48L66WYNX</t>
  </si>
  <si>
    <t>6MMTMDREOL48L72WYNX</t>
  </si>
  <si>
    <t>6MMTMDREOL48L78WYNX</t>
  </si>
  <si>
    <t>6MMTMDREOL48L84WYNX</t>
  </si>
  <si>
    <t>6MMTMDREOL48L90WYNX</t>
  </si>
  <si>
    <t>6MMTMDREOL48L96WYNX</t>
  </si>
  <si>
    <t>6MMTMDREOL48102WYNX</t>
  </si>
  <si>
    <t>6MMTMDREOL48108WYNX</t>
  </si>
  <si>
    <t>6MMTMDREOL48114WYNX</t>
  </si>
  <si>
    <t>6MMTMDREOL48120WYNX</t>
  </si>
  <si>
    <t>6MMTMDREOW36L60WYNX</t>
  </si>
  <si>
    <t>6MMTMDREOW36L66WYNX</t>
  </si>
  <si>
    <t>6MMTMDREOW36L72WYNX</t>
  </si>
  <si>
    <t>6MMTMDREOW36L78WYNX</t>
  </si>
  <si>
    <t>6MMTMDREOW36L84WYNX</t>
  </si>
  <si>
    <t>6MMTMDREOW36L90WYNX</t>
  </si>
  <si>
    <t>6MMTMDREOW36L96WYNX</t>
  </si>
  <si>
    <t>6MMTMDREOW36102WYNX</t>
  </si>
  <si>
    <t>6MMTMDREOW36108WYNX</t>
  </si>
  <si>
    <t>6MMTMDREOW36114WYNX</t>
  </si>
  <si>
    <t>6MMTMDREOW36120WYNX</t>
  </si>
  <si>
    <t>6MMTMDREOW42L60WYNX</t>
  </si>
  <si>
    <t>6MMTMDREOW42L66WYNX</t>
  </si>
  <si>
    <t>6MMTMDREOW42L72WYNX</t>
  </si>
  <si>
    <t>6MMTMDREOW42L78WYNX</t>
  </si>
  <si>
    <t>6MMTMDREOW42L84WYNX</t>
  </si>
  <si>
    <t>6MMTMDREOW42L90WYNX</t>
  </si>
  <si>
    <t>6MMTMDREOW42L96WYNX</t>
  </si>
  <si>
    <t>6MMTMDREOW42102WYNX</t>
  </si>
  <si>
    <t>6MMTMDREOW42108WYNX</t>
  </si>
  <si>
    <t>6MMTMDREOW42114WYNX</t>
  </si>
  <si>
    <t>6MMTMDREOW42120WYNX</t>
  </si>
  <si>
    <t>6MMTMDREOW48L60WYNX</t>
  </si>
  <si>
    <t>6MMTMDREOW48L66WYNX</t>
  </si>
  <si>
    <t>6MMTMDREOW48L72WYNX</t>
  </si>
  <si>
    <t>6MMTMDREOW48L78WYNX</t>
  </si>
  <si>
    <t>6MMTMDREOW48L84WYNX</t>
  </si>
  <si>
    <t>6MMTMDREOW48L90WYNX</t>
  </si>
  <si>
    <t>6MMTMDREOW48L96WYNX</t>
  </si>
  <si>
    <t>6MMTMDREOW48102WYNX</t>
  </si>
  <si>
    <t>6MMTMDREOW48108WYNX</t>
  </si>
  <si>
    <t>6MMTMDREOW48114WYNX</t>
  </si>
  <si>
    <t>6MMTMDREOW48120WYNX</t>
  </si>
  <si>
    <t>6MMTMDBTOL42L60WYNX</t>
  </si>
  <si>
    <t>6MMTMDBTOL42L66WYNX</t>
  </si>
  <si>
    <t>6MMTMDBTOL42L72WYNX</t>
  </si>
  <si>
    <t>6MMTMDBTOL42L78WYNX</t>
  </si>
  <si>
    <t>6MMTMDBTOL42L84WYNX</t>
  </si>
  <si>
    <t>6MMTMDBTOL42L90WYNX</t>
  </si>
  <si>
    <t>6MMTMDBTOL42L96WYNX</t>
  </si>
  <si>
    <t>6MMTMDBTOL42102WYNX</t>
  </si>
  <si>
    <t>6MMTMDBTOL42108WYNX</t>
  </si>
  <si>
    <t>6MMTMDBTOL42114WYNX</t>
  </si>
  <si>
    <t>6MMTMDBTOL42120WYNX</t>
  </si>
  <si>
    <t>6MMTMDBTOL48L60WYNX</t>
  </si>
  <si>
    <t>6MMTMDBTOL48L66WYNX</t>
  </si>
  <si>
    <t>6MMTMDBTOL48L72WYNX</t>
  </si>
  <si>
    <t>6MMTMDBTOL48L78WYNX</t>
  </si>
  <si>
    <t>6MMTMDBTOL48L84WYNX</t>
  </si>
  <si>
    <t>6MMTMDBTOL48L90WYNX</t>
  </si>
  <si>
    <t>6MMTMDBTOL48L96WYNX</t>
  </si>
  <si>
    <t>6MMTMDBTOL48102WYNX</t>
  </si>
  <si>
    <t>6MMTMDBTOL48108WYNX</t>
  </si>
  <si>
    <t>6MMTMDBTOL48114WYNX</t>
  </si>
  <si>
    <t>6MMTMDBTOL48120WYNX</t>
  </si>
  <si>
    <t>6MMTMDBTOW42L60WYNX</t>
  </si>
  <si>
    <t>6MMTMDBTOW42L66WYNX</t>
  </si>
  <si>
    <t>6MMTMDBTOW42L72WYNX</t>
  </si>
  <si>
    <t>6MMTMDBTOW42L78WYNX</t>
  </si>
  <si>
    <t>6MMTMDBTOW42L84WYNX</t>
  </si>
  <si>
    <t>6MMTMDBTOW42L90WYNX</t>
  </si>
  <si>
    <t>6MMTMDBTOW42L96WYNX</t>
  </si>
  <si>
    <t>6MMTMDBTOW42102WYNX</t>
  </si>
  <si>
    <t>6MMTMDBTOW42108WYNX</t>
  </si>
  <si>
    <t>6MMTMDBTOW42114WYNX</t>
  </si>
  <si>
    <t>6MMTMDBTOW42120WYNX</t>
  </si>
  <si>
    <t>6MMTMDBTOW48L60WYNX</t>
  </si>
  <si>
    <t>6MMTMDBTOW48L66WYNX</t>
  </si>
  <si>
    <t>6MMTMDBTOW48L72WYNX</t>
  </si>
  <si>
    <t>6MMTMDBTOW48L78WYNX</t>
  </si>
  <si>
    <t>6MMTMDBTOW48L84WYNX</t>
  </si>
  <si>
    <t>6MMTMDBTOW48L90WYNX</t>
  </si>
  <si>
    <t>6MMTMDBTOW48L96WYNX</t>
  </si>
  <si>
    <t>6MMTMDBTOW48102WYNX</t>
  </si>
  <si>
    <t>6MMTMDBTOW48108WYNX</t>
  </si>
  <si>
    <t>6MMTMDBTOW48114WYNX</t>
  </si>
  <si>
    <t>6MMTMDBTOW48120WYNX</t>
  </si>
  <si>
    <t>6MMTMDRTOL36L60WYNX</t>
  </si>
  <si>
    <t>6MMTMDRTOL36L66WYNX</t>
  </si>
  <si>
    <t>6MMTMDRTOL36L72WYNX</t>
  </si>
  <si>
    <t>6MMTMDRTOL36L78WYNX</t>
  </si>
  <si>
    <t>6MMTMDRTOL36L84WYNX</t>
  </si>
  <si>
    <t>6MMTMDRTOL36L90WYNX</t>
  </si>
  <si>
    <t>6MMTMDRTOL36L96WYNX</t>
  </si>
  <si>
    <t>6MMTMDRTOL36102WYNX</t>
  </si>
  <si>
    <t>6MMTMDRTOL36108WYNX</t>
  </si>
  <si>
    <t>6MMTMDRTOL36114WYNX</t>
  </si>
  <si>
    <t>6MMTMDRTOL36120WYNX</t>
  </si>
  <si>
    <t>6MMTMDRTOL42L60WYNX</t>
  </si>
  <si>
    <t>6MMTMDRTOL42L66WYNX</t>
  </si>
  <si>
    <t>6MMTMDRTOL42L72WYNX</t>
  </si>
  <si>
    <t>6MMTMDRTOL42L78WYNX</t>
  </si>
  <si>
    <t>6MMTMDRTOL42L84WYNX</t>
  </si>
  <si>
    <t>6MMTMDRTOL42L90WYNX</t>
  </si>
  <si>
    <t>6MMTMDRTOL42L96WYNX</t>
  </si>
  <si>
    <t>6MMTMDRTOL42102WYNX</t>
  </si>
  <si>
    <t>6MMTMDRTOL42108WYNX</t>
  </si>
  <si>
    <t>6MMTMDRTOL42114WYNX</t>
  </si>
  <si>
    <t>6MMTMDRTOL42120WYNX</t>
  </si>
  <si>
    <t>6MMTMDRTOL48L60WYNX</t>
  </si>
  <si>
    <t>6MMTMDRTOL48L66WYNX</t>
  </si>
  <si>
    <t>6MMTMDRTOL48L72WYNX</t>
  </si>
  <si>
    <t>6MMTMDRTOL48L78WYNX</t>
  </si>
  <si>
    <t>6MMTMDRTOL48L84WYNX</t>
  </si>
  <si>
    <t>6MMTMDRTOL48L90WYNX</t>
  </si>
  <si>
    <t>6MMTMDRTOL48L96WYNX</t>
  </si>
  <si>
    <t>6MMTMDRTOL48102WYNX</t>
  </si>
  <si>
    <t>6MMTMDRTOL48108WYNX</t>
  </si>
  <si>
    <t>6MMTMDRTOL48114WYNX</t>
  </si>
  <si>
    <t>6MMTMDRTOL48120WYNX</t>
  </si>
  <si>
    <t>6MMTMDRTOW36L60WYNX</t>
  </si>
  <si>
    <t>6MMTMDRTOW36L66WYNX</t>
  </si>
  <si>
    <t>6MMTMDRTOW36L72WYNX</t>
  </si>
  <si>
    <t>6MMTMDRTOW36L78WYNX</t>
  </si>
  <si>
    <t>6MMTMDRTOW36L84WYNX</t>
  </si>
  <si>
    <t>6MMTMDRTOW36L90WYNX</t>
  </si>
  <si>
    <t>6MMTMDRTOW36L96WYNX</t>
  </si>
  <si>
    <t>6MMTMDRTOW36102WYNX</t>
  </si>
  <si>
    <t>6MMTMDRTOW36108WYNX</t>
  </si>
  <si>
    <t>6MMTMDRTOW36114WYNX</t>
  </si>
  <si>
    <t>6MMTMDRTOW36120WYNX</t>
  </si>
  <si>
    <t>6MMTMDRTOW42L60WYNX</t>
  </si>
  <si>
    <t>6MMTMDRTOW42L66WYNX</t>
  </si>
  <si>
    <t>6MMTMDRTOW42L72WYNX</t>
  </si>
  <si>
    <t>6MMTMDRTOW42L78WYNX</t>
  </si>
  <si>
    <t>6MMTMDRTOW42L84WYNX</t>
  </si>
  <si>
    <t>6MMTMDRTOW42L90WYNX</t>
  </si>
  <si>
    <t>6MMTMDRTOW42L96WYNX</t>
  </si>
  <si>
    <t>6MMTMDRTOW42102WYNX</t>
  </si>
  <si>
    <t>6MMTMDRTOW42108WYNX</t>
  </si>
  <si>
    <t>6MMTMDRTOW42114WYNX</t>
  </si>
  <si>
    <t>6MMTMDRTOW42120WYNX</t>
  </si>
  <si>
    <t>6MMTMDRTOW48L60WYNX</t>
  </si>
  <si>
    <t>6MMTMDRTOW48L66WYNX</t>
  </si>
  <si>
    <t>6MMTMDRTOW48L72WYNX</t>
  </si>
  <si>
    <t>6MMTMDRTOW48L78WYNX</t>
  </si>
  <si>
    <t>6MMTMDRTOW48L84WYNX</t>
  </si>
  <si>
    <t>6MMTMDRTOW48L90WYNX</t>
  </si>
  <si>
    <t>6MMTMDRTOW48L96WYNX</t>
  </si>
  <si>
    <t>6MMTMDRTOW48102WYNX</t>
  </si>
  <si>
    <t>6MMTMDRTOW48108WYNX</t>
  </si>
  <si>
    <t>6MMTMDRTOW48114WYNX</t>
  </si>
  <si>
    <t>6MMTMDRTOW48120WYNX</t>
  </si>
  <si>
    <t>6MMTLGREOL42120WYNX</t>
  </si>
  <si>
    <t>6MMTLGREOL42126WYNX</t>
  </si>
  <si>
    <t>6MMTLGREOL42132WYNX</t>
  </si>
  <si>
    <t>6MMTLGREOL42138WYNX</t>
  </si>
  <si>
    <t>6MMTLGREOL42144WYNX</t>
  </si>
  <si>
    <t>6MMTLGREOL42150WYNX</t>
  </si>
  <si>
    <t>6MMTLGREOL42156WYNX</t>
  </si>
  <si>
    <t>6MMTLGREOL42162WYNX</t>
  </si>
  <si>
    <t>6MMTLGREOL42168WYNX</t>
  </si>
  <si>
    <t>6MMTLGREOL42174WYNX</t>
  </si>
  <si>
    <t>6MMTLGREOL42180WYNX</t>
  </si>
  <si>
    <t>6MMTLGREOL42186WYNX</t>
  </si>
  <si>
    <t>6MMTLGREOL42192WYNX</t>
  </si>
  <si>
    <t>6MMTLGREOL48120WYNX</t>
  </si>
  <si>
    <t>6MMTLGREOL48126WYNX</t>
  </si>
  <si>
    <t>6MMTLGREOL48132WYNX</t>
  </si>
  <si>
    <t>6MMTLGREOL48138WYNX</t>
  </si>
  <si>
    <t>6MMTLGREOL48144WYNX</t>
  </si>
  <si>
    <t>6MMTLGREOL48150WYNX</t>
  </si>
  <si>
    <t>6MMTLGREOL48156WYNX</t>
  </si>
  <si>
    <t>6MMTLGREOL48162WYNX</t>
  </si>
  <si>
    <t>6MMTLGREOL48168WYNX</t>
  </si>
  <si>
    <t>6MMTLGREOL48174WYNX</t>
  </si>
  <si>
    <t>6MMTLGREOL48180WYNX</t>
  </si>
  <si>
    <t>6MMTLGREOL48186WYNX</t>
  </si>
  <si>
    <t>6MMTLGREOL48192WYNX</t>
  </si>
  <si>
    <t>6MMTLGREOL54120WYNX</t>
  </si>
  <si>
    <t>6MMTLGREOL54126WYNX</t>
  </si>
  <si>
    <t>6MMTLGREOL54132WYNX</t>
  </si>
  <si>
    <t>6MMTLGREOL54138WYNX</t>
  </si>
  <si>
    <t>6MMTLGREOL54144WYNX</t>
  </si>
  <si>
    <t>6MMTLGREOL54150WYNX</t>
  </si>
  <si>
    <t>6MMTLGREOL54156WYNX</t>
  </si>
  <si>
    <t>6MMTLGREOL54162WYNX</t>
  </si>
  <si>
    <t>6MMTLGREOL54168WYNX</t>
  </si>
  <si>
    <t>6MMTLGREOL54174WYNX</t>
  </si>
  <si>
    <t>6MMTLGREOL54180WYNX</t>
  </si>
  <si>
    <t>6MMTLGREOL54186WYNX</t>
  </si>
  <si>
    <t>6MMTLGREOL54192WYNX</t>
  </si>
  <si>
    <t>6MMTLGREOL60120WYNX</t>
  </si>
  <si>
    <t>6MMTLGREOL60126WYNX</t>
  </si>
  <si>
    <t>6MMTLGREOL60132WYNX</t>
  </si>
  <si>
    <t>6MMTLGREOL60138WYNX</t>
  </si>
  <si>
    <t>6MMTLGREOL60144WYNX</t>
  </si>
  <si>
    <t>6MMTLGREOL60150WYNX</t>
  </si>
  <si>
    <t>6MMTLGREOL60156WYNX</t>
  </si>
  <si>
    <t>6MMTLGREOL60162WYNX</t>
  </si>
  <si>
    <t>6MMTLGREOL60168WYNX</t>
  </si>
  <si>
    <t>6MMTLGREOL60174WYNX</t>
  </si>
  <si>
    <t>6MMTLGREOL60180WYNX</t>
  </si>
  <si>
    <t>6MMTLGREOL60186WYNX</t>
  </si>
  <si>
    <t>6MMTLGREOL60192WYNX</t>
  </si>
  <si>
    <t>6MMTLGREOW42120WYNX</t>
  </si>
  <si>
    <t>6MMTLGREOW42126WYNX</t>
  </si>
  <si>
    <t>6MMTLGREOW42132WYNX</t>
  </si>
  <si>
    <t>6MMTLGREOW42138WYNX</t>
  </si>
  <si>
    <t>6MMTLGREOW42144WYNX</t>
  </si>
  <si>
    <t>6MMTLGREOW42150WYNX</t>
  </si>
  <si>
    <t>6MMTLGREOW42156WYNX</t>
  </si>
  <si>
    <t>6MMTLGREOW42162WYNX</t>
  </si>
  <si>
    <t>6MMTLGREOW42168WYNX</t>
  </si>
  <si>
    <t>6MMTLGREOW42174WYNX</t>
  </si>
  <si>
    <t>6MMTLGREOW42180WYNX</t>
  </si>
  <si>
    <t>6MMTLGREOW42186WYNX</t>
  </si>
  <si>
    <t>6MMTLGREOW42192WYNX</t>
  </si>
  <si>
    <t>6MMTLGREOW48120WYNX</t>
  </si>
  <si>
    <t>6MMTLGREOW48126WYNX</t>
  </si>
  <si>
    <t>6MMTLGREOW48132WYNX</t>
  </si>
  <si>
    <t>6MMTLGREOW48138WYNX</t>
  </si>
  <si>
    <t>6MMTLGREOW48144WYNX</t>
  </si>
  <si>
    <t>6MMTLGREOW48150WYNX</t>
  </si>
  <si>
    <t>6MMTLGREOW48156WYNX</t>
  </si>
  <si>
    <t>6MMTLGREOW48162WYNX</t>
  </si>
  <si>
    <t>6MMTLGREOW48168WYNX</t>
  </si>
  <si>
    <t>6MMTLGREOW48174WYNX</t>
  </si>
  <si>
    <t>6MMTLGREOW48180WYNX</t>
  </si>
  <si>
    <t>6MMTLGREOW48186WYNX</t>
  </si>
  <si>
    <t>6MMTLGREOW48192WYNX</t>
  </si>
  <si>
    <t>6MMTLGREOW54120WYNX</t>
  </si>
  <si>
    <t>6MMTLGREOW54126WYNX</t>
  </si>
  <si>
    <t>6MMTLGREOW54132WYNX</t>
  </si>
  <si>
    <t>6MMTLGREOW54138WYNX</t>
  </si>
  <si>
    <t>6MMTLGREOW54144WYNX</t>
  </si>
  <si>
    <t>6MMTLGREOW54150WYNX</t>
  </si>
  <si>
    <t>6MMTLGREOW54156WYNX</t>
  </si>
  <si>
    <t>6MMTLGREOW54162WYNX</t>
  </si>
  <si>
    <t>6MMTLGREOW54168WYNX</t>
  </si>
  <si>
    <t>6MMTLGREOW54174WYNX</t>
  </si>
  <si>
    <t>6MMTLGREOW54180WYNX</t>
  </si>
  <si>
    <t>6MMTLGREOW54186WYNX</t>
  </si>
  <si>
    <t>6MMTLGREOW54192WYNX</t>
  </si>
  <si>
    <t>6MMTLGREOW60120WYNX</t>
  </si>
  <si>
    <t>6MMTLGREOW60126WYNX</t>
  </si>
  <si>
    <t>6MMTLGREOW60132WYNX</t>
  </si>
  <si>
    <t>6MMTLGREOW60138WYNX</t>
  </si>
  <si>
    <t>6MMTLGREOW60144WYNX</t>
  </si>
  <si>
    <t>6MMTLGREOW60150WYNX</t>
  </si>
  <si>
    <t>6MMTLGREOW60156WYNX</t>
  </si>
  <si>
    <t>6MMTLGREOW60162WYNX</t>
  </si>
  <si>
    <t>6MMTLGREOW60168WYNX</t>
  </si>
  <si>
    <t>6MMTLGREOW60174WYNX</t>
  </si>
  <si>
    <t>6MMTLGREOW60180WYNX</t>
  </si>
  <si>
    <t>6MMTLGREOW60186WYNX</t>
  </si>
  <si>
    <t>6MMTLGREOW60192WYNX</t>
  </si>
  <si>
    <t>6MMTLGBTOL42120WYNX</t>
  </si>
  <si>
    <t>6MMTLGBTOL42126WYNX</t>
  </si>
  <si>
    <t>6MMTLGBTOL42132WYNX</t>
  </si>
  <si>
    <t>6MMTLGBTOL42138WYNX</t>
  </si>
  <si>
    <t>6MMTLGBTOL42144WYNX</t>
  </si>
  <si>
    <t>6MMTLGBTOL42150WYNX</t>
  </si>
  <si>
    <t>6MMTLGBTOL42156WYNX</t>
  </si>
  <si>
    <t>6MMTLGBTOL42162WYNX</t>
  </si>
  <si>
    <t>6MMTLGBTOL42168WYNX</t>
  </si>
  <si>
    <t>6MMTLGBTOL42174WYNX</t>
  </si>
  <si>
    <t>6MMTLGBTOL42180WYNX</t>
  </si>
  <si>
    <t>6MMTLGBTOL42186WYNX</t>
  </si>
  <si>
    <t>6MMTLGBTOL42192WYNX</t>
  </si>
  <si>
    <t>6MMTLGBTOL48120WYNX</t>
  </si>
  <si>
    <t>6MMTLGBTOL48126WYNX</t>
  </si>
  <si>
    <t>6MMTLGBTOL48132WYNX</t>
  </si>
  <si>
    <t>6MMTLGBTOL48138WYNX</t>
  </si>
  <si>
    <t>6MMTLGBTOL48144WYNX</t>
  </si>
  <si>
    <t>6MMTLGBTOL48150WYNX</t>
  </si>
  <si>
    <t>6MMTLGBTOL48156WYNX</t>
  </si>
  <si>
    <t>6MMTLGBTOL48162WYNX</t>
  </si>
  <si>
    <t>6MMTLGBTOL48168WYNX</t>
  </si>
  <si>
    <t>6MMTLGBTOL48174WYNX</t>
  </si>
  <si>
    <t>6MMTLGBTOL48180WYNX</t>
  </si>
  <si>
    <t>6MMTLGBTOL48186WYNX</t>
  </si>
  <si>
    <t>6MMTLGBTOL48192WYNX</t>
  </si>
  <si>
    <t>6MMTLGBTOL54120WYNX</t>
  </si>
  <si>
    <t>6MMTLGBTOL54126WYNX</t>
  </si>
  <si>
    <t>6MMTLGBTOL54132WYNX</t>
  </si>
  <si>
    <t>6MMTLGBTOL54138WYNX</t>
  </si>
  <si>
    <t>6MMTLGBTOL54144WYNX</t>
  </si>
  <si>
    <t>6MMTLGBTOL54150WYNX</t>
  </si>
  <si>
    <t>6MMTLGBTOL54156WYNX</t>
  </si>
  <si>
    <t>6MMTLGBTOL54162WYNX</t>
  </si>
  <si>
    <t>6MMTLGBTOL54168WYNX</t>
  </si>
  <si>
    <t>6MMTLGBTOL54174WYNX</t>
  </si>
  <si>
    <t>6MMTLGBTOL54180WYNX</t>
  </si>
  <si>
    <t>6MMTLGBTOL54186WYNX</t>
  </si>
  <si>
    <t>6MMTLGBTOL54192WYNX</t>
  </si>
  <si>
    <t>6MMTLGBTOL60120WYNX</t>
  </si>
  <si>
    <t>6MMTLGBTOL60126WYNX</t>
  </si>
  <si>
    <t>6MMTLGBTOL60132WYNX</t>
  </si>
  <si>
    <t>6MMTLGBTOL60138WYNX</t>
  </si>
  <si>
    <t>6MMTLGBTOL60144WYNX</t>
  </si>
  <si>
    <t>6MMTLGBTOL60150WYNX</t>
  </si>
  <si>
    <t>6MMTLGBTOL60156WYNX</t>
  </si>
  <si>
    <t>6MMTLGBTOL60162WYNX</t>
  </si>
  <si>
    <t>6MMTLGBTOL60168WYNX</t>
  </si>
  <si>
    <t>6MMTLGBTOL60174WYNX</t>
  </si>
  <si>
    <t>6MMTLGBTOL60180WYNX</t>
  </si>
  <si>
    <t>6MMTLGBTOL60186WYNX</t>
  </si>
  <si>
    <t>6MMTLGBTOL60192WYNX</t>
  </si>
  <si>
    <t>6MMTLGBTOW42120WYNX</t>
  </si>
  <si>
    <t>6MMTLGBTOW42126WYNX</t>
  </si>
  <si>
    <t>6MMTLGBTOW42132WYNX</t>
  </si>
  <si>
    <t>6MMTLGBTOW42138WYNX</t>
  </si>
  <si>
    <t>6MMTLGBTOW42144WYNX</t>
  </si>
  <si>
    <t>6MMTLGBTOW42150WYNX</t>
  </si>
  <si>
    <t>6MMTLGBTOW42156WYNX</t>
  </si>
  <si>
    <t>6MMTLGBTOW42162WYNX</t>
  </si>
  <si>
    <t>6MMTLGBTOW42168WYNX</t>
  </si>
  <si>
    <t>6MMTLGBTOW42174WYNX</t>
  </si>
  <si>
    <t>6MMTLGBTOW42180WYNX</t>
  </si>
  <si>
    <t>6MMTLGBTOW42186WYNX</t>
  </si>
  <si>
    <t>6MMTLGBTOW42192WYNX</t>
  </si>
  <si>
    <t>6MMTLGBTOW48120WYNX</t>
  </si>
  <si>
    <t>6MMTLGBTOW48126WYNX</t>
  </si>
  <si>
    <t>6MMTLGBTOW48132WYNX</t>
  </si>
  <si>
    <t>6MMTLGBTOW48138WYNX</t>
  </si>
  <si>
    <t>6MMTLGBTOW48144WYNX</t>
  </si>
  <si>
    <t>6MMTLGBTOW48150WYNX</t>
  </si>
  <si>
    <t>6MMTLGBTOW48156WYNX</t>
  </si>
  <si>
    <t>6MMTLGBTOW48162WYNX</t>
  </si>
  <si>
    <t>6MMTLGBTOW48168WYNX</t>
  </si>
  <si>
    <t>6MMTLGBTOW48174WYNX</t>
  </si>
  <si>
    <t>6MMTLGBTOW48180WYNX</t>
  </si>
  <si>
    <t>6MMTLGBTOW48186WYNX</t>
  </si>
  <si>
    <t>6MMTLGBTOW48192WYNX</t>
  </si>
  <si>
    <t>6MMTLGBTOW54120WYNX</t>
  </si>
  <si>
    <t>6MMTLGBTOW54126WYNX</t>
  </si>
  <si>
    <t>6MMTLGBTOW54132WYNX</t>
  </si>
  <si>
    <t>6MMTLGBTOW54138WYNX</t>
  </si>
  <si>
    <t>6MMTLGBTOW54144WYNX</t>
  </si>
  <si>
    <t>6MMTLGBTOW54150WYNX</t>
  </si>
  <si>
    <t>6MMTLGBTOW54156WYNX</t>
  </si>
  <si>
    <t>6MMTLGBTOW54162WYNX</t>
  </si>
  <si>
    <t>6MMTLGBTOW54168WYNX</t>
  </si>
  <si>
    <t>6MMTLGBTOW54174WYNX</t>
  </si>
  <si>
    <t>6MMTLGBTOW54180WYNX</t>
  </si>
  <si>
    <t>6MMTLGBTOW54186WYNX</t>
  </si>
  <si>
    <t>6MMTLGBTOW54192WYNX</t>
  </si>
  <si>
    <t>6MMTLGBTOW60120WYNX</t>
  </si>
  <si>
    <t>6MMTLGBTOW60126WYNX</t>
  </si>
  <si>
    <t>6MMTLGBTOW60132WYNX</t>
  </si>
  <si>
    <t>6MMTLGBTOW60138WYNX</t>
  </si>
  <si>
    <t>6MMTLGBTOW60144WYNX</t>
  </si>
  <si>
    <t>6MMTLGBTOW60150WYNX</t>
  </si>
  <si>
    <t>6MMTLGBTOW60156WYNX</t>
  </si>
  <si>
    <t>6MMTLGBTOW60162WYNX</t>
  </si>
  <si>
    <t>6MMTLGBTOW60168WYNX</t>
  </si>
  <si>
    <t>6MMTLGBTOW60174WYNX</t>
  </si>
  <si>
    <t>6MMTLGBTOW60180WYNX</t>
  </si>
  <si>
    <t>6MMTLGBTOW60186WYNX</t>
  </si>
  <si>
    <t>6MMTLGBTOW60192WYNX</t>
  </si>
  <si>
    <t>6MMTLGRTOL42120WYNX</t>
  </si>
  <si>
    <t>6MMTLGRTOL42126WYNX</t>
  </si>
  <si>
    <t>6MMTLGRTOL42132WYNX</t>
  </si>
  <si>
    <t>6MMTLGRTOL42138WYNX</t>
  </si>
  <si>
    <t>6MMTLGRTOL42144WYNX</t>
  </si>
  <si>
    <t>6MMTLGRTOL42150WYNX</t>
  </si>
  <si>
    <t>6MMTLGRTOL42156WYNX</t>
  </si>
  <si>
    <t>6MMTLGRTOL42162WYNX</t>
  </si>
  <si>
    <t>6MMTLGRTOL42168WYNX</t>
  </si>
  <si>
    <t>6MMTLGRTOL42174WYNX</t>
  </si>
  <si>
    <t>6MMTLGRTOL42180WYNX</t>
  </si>
  <si>
    <t>6MMTLGRTOL42186WYNX</t>
  </si>
  <si>
    <t>6MMTLGRTOL42192WYNX</t>
  </si>
  <si>
    <t>6MMTLGRTOL48120WYNX</t>
  </si>
  <si>
    <t>6MMTLGRTOL48126WYNX</t>
  </si>
  <si>
    <t>6MMTLGRTOL48132WYNX</t>
  </si>
  <si>
    <t>6MMTLGRTOL48138WYNX</t>
  </si>
  <si>
    <t>6MMTLGRTOL48144WYNX</t>
  </si>
  <si>
    <t>6MMTLGRTOL48150WYNX</t>
  </si>
  <si>
    <t>6MMTLGRTOL48156WYNX</t>
  </si>
  <si>
    <t>6MMTLGRTOL48162WYNX</t>
  </si>
  <si>
    <t>6MMTLGRTOL48168WYNX</t>
  </si>
  <si>
    <t>6MMTLGRTOL48174WYNX</t>
  </si>
  <si>
    <t>6MMTLGRTOL48180WYNX</t>
  </si>
  <si>
    <t>6MMTLGRTOL48186WYNX</t>
  </si>
  <si>
    <t>6MMTLGRTOL48192WYNX</t>
  </si>
  <si>
    <t>6MMTLGRTOL54120WYNX</t>
  </si>
  <si>
    <t>6MMTLGRTOL54126WYNX</t>
  </si>
  <si>
    <t>6MMTLGRTOL54132WYNX</t>
  </si>
  <si>
    <t>6MMTLGRTOL54138WYNX</t>
  </si>
  <si>
    <t>6MMTLGRTOL54144WYNX</t>
  </si>
  <si>
    <t>6MMTLGRTOL54150WYNX</t>
  </si>
  <si>
    <t>6MMTLGRTOL54156WYNX</t>
  </si>
  <si>
    <t>6MMTLGRTOL54162WYNX</t>
  </si>
  <si>
    <t>6MMTLGRTOL54168WYNX</t>
  </si>
  <si>
    <t>6MMTLGRTOL54174WYNX</t>
  </si>
  <si>
    <t>6MMTLGRTOL54180WYNX</t>
  </si>
  <si>
    <t>6MMTLGRTOL54186WYNX</t>
  </si>
  <si>
    <t>6MMTLGRTOL54192WYNX</t>
  </si>
  <si>
    <t>6MMTLGRTOL60120WYNX</t>
  </si>
  <si>
    <t>6MMTLGRTOL60126WYNX</t>
  </si>
  <si>
    <t>6MMTLGRTOL60132WYNX</t>
  </si>
  <si>
    <t>6MMTLGRTOL60138WYNX</t>
  </si>
  <si>
    <t>6MMTLGRTOL60144WYNX</t>
  </si>
  <si>
    <t>6MMTLGRTOL60150WYNX</t>
  </si>
  <si>
    <t>6MMTLGRTOL60156WYNX</t>
  </si>
  <si>
    <t>6MMTLGRTOL60162WYNX</t>
  </si>
  <si>
    <t>6MMTLGRTOL60168WYNX</t>
  </si>
  <si>
    <t>6MMTLGRTOL60174WYNX</t>
  </si>
  <si>
    <t>6MMTLGRTOL60180WYNX</t>
  </si>
  <si>
    <t>6MMTLGRTOL60186WYNX</t>
  </si>
  <si>
    <t>6MMTLGRTOL60192WYNX</t>
  </si>
  <si>
    <t>6MMTLGRTOW42120WYNX</t>
  </si>
  <si>
    <t>6MMTLGRTOW42126WYNX</t>
  </si>
  <si>
    <t>6MMTLGRTOW42132WYNX</t>
  </si>
  <si>
    <t>6MMTLGRTOW42138WYNX</t>
  </si>
  <si>
    <t>6MMTLGRTOW42144WYNX</t>
  </si>
  <si>
    <t>6MMTLGRTOW42150WYNX</t>
  </si>
  <si>
    <t>6MMTLGRTOW42156WYNX</t>
  </si>
  <si>
    <t>6MMTLGRTOW42162WYNX</t>
  </si>
  <si>
    <t>6MMTLGRTOW42168WYNX</t>
  </si>
  <si>
    <t>6MMTLGRTOW42174WYNX</t>
  </si>
  <si>
    <t>6MMTLGRTOW42180WYNX</t>
  </si>
  <si>
    <t>6MMTLGRTOW42186WYNX</t>
  </si>
  <si>
    <t>6MMTLGRTOW42192WYNX</t>
  </si>
  <si>
    <t>6MMTLGRTOW48120WYNX</t>
  </si>
  <si>
    <t>6MMTLGRTOW48126WYNX</t>
  </si>
  <si>
    <t>6MMTLGRTOW48132WYNX</t>
  </si>
  <si>
    <t>6MMTLGRTOW48138WYNX</t>
  </si>
  <si>
    <t>6MMTLGRTOW48144WYNX</t>
  </si>
  <si>
    <t>6MMTLGRTOW48150WYNX</t>
  </si>
  <si>
    <t>6MMTLGRTOW48156WYNX</t>
  </si>
  <si>
    <t>6MMTLGRTOW48162WYNX</t>
  </si>
  <si>
    <t>6MMTLGRTOW48168WYNX</t>
  </si>
  <si>
    <t>6MMTLGRTOW48174WYNX</t>
  </si>
  <si>
    <t>6MMTLGRTOW48180WYNX</t>
  </si>
  <si>
    <t>6MMTLGRTOW48186WYNX</t>
  </si>
  <si>
    <t>6MMTLGRTOW48192WYNX</t>
  </si>
  <si>
    <t>6MMTLGRTOW54120WYNX</t>
  </si>
  <si>
    <t>6MMTLGRTOW54126WYNX</t>
  </si>
  <si>
    <t>6MMTLGRTOW54132WYNX</t>
  </si>
  <si>
    <t>6MMTLGRTOW54138WYNX</t>
  </si>
  <si>
    <t>6MMTLGRTOW54144WYNX</t>
  </si>
  <si>
    <t>6MMTLGRTOW54150WYNX</t>
  </si>
  <si>
    <t>6MMTLGRTOW54156WYNX</t>
  </si>
  <si>
    <t>6MMTLGRTOW54162WYNX</t>
  </si>
  <si>
    <t>6MMTLGRTOW54168WYNX</t>
  </si>
  <si>
    <t>6MMTLGRTOW54174WYNX</t>
  </si>
  <si>
    <t>6MMTLGRTOW54180WYNX</t>
  </si>
  <si>
    <t>6MMTLGRTOW54186WYNX</t>
  </si>
  <si>
    <t>6MMTLGRTOW54192WYNX</t>
  </si>
  <si>
    <t>6MMTLGRTOW60120WYNX</t>
  </si>
  <si>
    <t>6MMTLGRTOW60126WYNX</t>
  </si>
  <si>
    <t>6MMTLGRTOW60132WYNX</t>
  </si>
  <si>
    <t>6MMTLGRTOW60138WYNX</t>
  </si>
  <si>
    <t>6MMTLGRTOW60144WYNX</t>
  </si>
  <si>
    <t>6MMTLGRTOW60150WYNX</t>
  </si>
  <si>
    <t>6MMTLGRTOW60156WYNX</t>
  </si>
  <si>
    <t>6MMTLGRTOW60162WYNX</t>
  </si>
  <si>
    <t>6MMTLGRTOW60168WYNX</t>
  </si>
  <si>
    <t>6MMTLGRTOW60174WYNX</t>
  </si>
  <si>
    <t>6MMTLGRTOW60180WYNX</t>
  </si>
  <si>
    <t>6MMTLGRTOW60186WYNX</t>
  </si>
  <si>
    <t>6MMTLGRTOW60192WYNX</t>
  </si>
  <si>
    <t>Krug Inc. - SP51016036</t>
  </si>
  <si>
    <t>Medium Rectangular Table, Laminate,  Post Legs-Column and Power/Data</t>
  </si>
  <si>
    <t>Medium Rectangular Table, Wood,  Post Legs-Column and Power/Data</t>
  </si>
  <si>
    <t>Laminate Top with 4 Lam Post Legs and Drum Base, with 62CON BV</t>
  </si>
  <si>
    <t>Medium Boat Table, Laminate,  Post Legs-Column and Power/Data</t>
  </si>
  <si>
    <t>Medium Boat Table, Wood,  Post Legs-Column and Power/Data</t>
  </si>
  <si>
    <t>Wood Top (Walnut, Maple, Cherry, Oak) with 4 Wood Post Legs and Drum Base, with 62CON BV</t>
  </si>
  <si>
    <t>Medium Racetrack Table, Laminate,  Post Legs-Column and Power/Data</t>
  </si>
  <si>
    <t>Medium Racetrack Table, Wood,  Post Legs-Column and Power/Data</t>
  </si>
  <si>
    <t>Large Rectangular Table, Laminate,  Post Legs-Column and Power/Data</t>
  </si>
  <si>
    <t>Large Rectangular Table, Wood,  Post Legs-Column and Power/Data</t>
  </si>
  <si>
    <t>Large Boat Table, Laminate,  Post Legs-Column and Power/Data</t>
  </si>
  <si>
    <t>Large Boat Table, Wood,  Post Legs-Column and Power/Data</t>
  </si>
  <si>
    <t>Large Racetrack Table, Laminate,  Post Legs-Column and Power/Data</t>
  </si>
  <si>
    <t>Large Racetrack Table, Wood,  Post Legs-Column and Power/Data</t>
  </si>
  <si>
    <t>Krug Inc. - SP51017836</t>
  </si>
  <si>
    <t>Krug Inc. - SP51016636</t>
  </si>
  <si>
    <t>Krug Inc. - SP51017236</t>
  </si>
  <si>
    <t>Krug Inc. - SP51018436</t>
  </si>
  <si>
    <t>Krug Inc. - SP51019036</t>
  </si>
  <si>
    <t>Krug Inc. - SP51019636</t>
  </si>
  <si>
    <t>Krug Inc. - SP510110236</t>
  </si>
  <si>
    <t>Krug Inc. - SP510110836</t>
  </si>
  <si>
    <t>Krug Inc. - SP510111436</t>
  </si>
  <si>
    <t>Krug Inc. - SP510112036</t>
  </si>
  <si>
    <t>Krug Inc. - SP51016042</t>
  </si>
  <si>
    <t>Krug Inc. - SP51016642</t>
  </si>
  <si>
    <t>Krug Inc. - SP51017242</t>
  </si>
  <si>
    <t>Krug Inc. - SP51017842</t>
  </si>
  <si>
    <t>Krug Inc. - SP51018442</t>
  </si>
  <si>
    <t>Krug Inc. - SP51019042</t>
  </si>
  <si>
    <t>Krug Inc. - SP51019642</t>
  </si>
  <si>
    <t>Krug Inc. - SP510110242</t>
  </si>
  <si>
    <t>Krug Inc. - SP510110842</t>
  </si>
  <si>
    <t>Krug Inc. - SP510111442</t>
  </si>
  <si>
    <t>Krug Inc. - SP510112042</t>
  </si>
  <si>
    <t>Krug Inc. - SP51016048</t>
  </si>
  <si>
    <t>Krug Inc. - SP51016648</t>
  </si>
  <si>
    <t>Krug Inc. - SP51017248</t>
  </si>
  <si>
    <t>Krug Inc. - SP51017848</t>
  </si>
  <si>
    <t>Krug Inc. - SP51018448</t>
  </si>
  <si>
    <t>Krug Inc. - SP51019048</t>
  </si>
  <si>
    <t>Krug Inc. - SP51019648</t>
  </si>
  <si>
    <t>Krug Inc. - SP510110248</t>
  </si>
  <si>
    <t>Krug Inc. - SP510110848</t>
  </si>
  <si>
    <t>Krug Inc. - SP510111448</t>
  </si>
  <si>
    <t>Krug Inc. - SP510112048</t>
  </si>
  <si>
    <t>Krug Inc. - SP5104604236</t>
  </si>
  <si>
    <t>Krug Inc. - SP5104664236</t>
  </si>
  <si>
    <t>Krug Inc. - SP5104724236</t>
  </si>
  <si>
    <t>Krug Inc. - SP5104784236</t>
  </si>
  <si>
    <t>Krug Inc. - SP5104844236</t>
  </si>
  <si>
    <t>Krug Inc. - SP5104904236</t>
  </si>
  <si>
    <t>Krug Inc. - SP5104964236</t>
  </si>
  <si>
    <t>Krug Inc. - SP51041024236</t>
  </si>
  <si>
    <t>Krug Inc. - SP51041084236</t>
  </si>
  <si>
    <t>Krug Inc. - SP51041144236</t>
  </si>
  <si>
    <t>Krug Inc. - SP51041204236</t>
  </si>
  <si>
    <t>Krug Inc. - SP5104604842</t>
  </si>
  <si>
    <t>Krug Inc. - SP5104664842</t>
  </si>
  <si>
    <t>Krug Inc. - SP5104724842</t>
  </si>
  <si>
    <t>Krug Inc. - SP5104784842</t>
  </si>
  <si>
    <t>Krug Inc. - SP5104844842</t>
  </si>
  <si>
    <t>Krug Inc. - SP5104904842</t>
  </si>
  <si>
    <t>Krug Inc. - SP5104964842</t>
  </si>
  <si>
    <t>Krug Inc. - SP51041024842</t>
  </si>
  <si>
    <t>Krug Inc. - SP51041084842</t>
  </si>
  <si>
    <t>Krug Inc. - SP51041144842</t>
  </si>
  <si>
    <t>Krug Inc. - SP51041204842</t>
  </si>
  <si>
    <t>Krug Inc. - SP510126036</t>
  </si>
  <si>
    <t>Krug Inc. - SP51026636</t>
  </si>
  <si>
    <t>Krug Inc. - SP51027236</t>
  </si>
  <si>
    <t>Krug Inc. - SP51027836</t>
  </si>
  <si>
    <t>Krug Inc. - SP51028436</t>
  </si>
  <si>
    <t>Krug Inc. - SP51029036</t>
  </si>
  <si>
    <t>Krug Inc. - SP51029636</t>
  </si>
  <si>
    <t>Krug Inc. - SP510210236</t>
  </si>
  <si>
    <t>Krug Inc. - SP510210836</t>
  </si>
  <si>
    <t>Krug Inc. - SP510211436</t>
  </si>
  <si>
    <t>Krug Inc. - SP510212036</t>
  </si>
  <si>
    <t>Krug Inc. - SP51026042</t>
  </si>
  <si>
    <t>Krug Inc. - SP51026642</t>
  </si>
  <si>
    <t>Krug Inc. - SP51027242</t>
  </si>
  <si>
    <t>Krug Inc. - SP51027842</t>
  </si>
  <si>
    <t>Krug Inc. - SP510212048</t>
  </si>
  <si>
    <t>Krug Inc. - SP510211448</t>
  </si>
  <si>
    <t>Krug Inc. - SP510210848</t>
  </si>
  <si>
    <t>Krug Inc. - SP510210248</t>
  </si>
  <si>
    <t>Krug Inc. - SP51029648</t>
  </si>
  <si>
    <t>Krug Inc. - SP51029048</t>
  </si>
  <si>
    <t>Krug Inc. - SP51028448</t>
  </si>
  <si>
    <t>Krug Inc. - SP51027848</t>
  </si>
  <si>
    <t>Krug Inc. - SP51027248</t>
  </si>
  <si>
    <t>Krug Inc. - SP51026648</t>
  </si>
  <si>
    <t>Krug Inc. - SP51026048</t>
  </si>
  <si>
    <t>Krug Inc. - SP510212042</t>
  </si>
  <si>
    <t>Krug Inc. - SP510211442</t>
  </si>
  <si>
    <t>Krug Inc. - SP510210842</t>
  </si>
  <si>
    <t>Krug Inc. - SP510210242</t>
  </si>
  <si>
    <t>Krug Inc. - SP51029642</t>
  </si>
  <si>
    <t>Krug Inc. - SP51029042</t>
  </si>
  <si>
    <t>Krug Inc. - SP51028442</t>
  </si>
  <si>
    <t>Krug Inc. - SP510112642</t>
  </si>
  <si>
    <t>Krug Inc. - SP510113242</t>
  </si>
  <si>
    <t>Krug Inc. - SP510113842</t>
  </si>
  <si>
    <t>Krug Inc. - SP510114442</t>
  </si>
  <si>
    <t>Krug Inc. - SP510115042</t>
  </si>
  <si>
    <t>Krug Inc. - SP510115642</t>
  </si>
  <si>
    <t>Krug Inc. - SP510116242</t>
  </si>
  <si>
    <t>Krug Inc. - SP510116842</t>
  </si>
  <si>
    <t>Krug Inc. - SP510117442</t>
  </si>
  <si>
    <t>Krug Inc. - SP510118042</t>
  </si>
  <si>
    <t>Krug Inc. - SP510118642</t>
  </si>
  <si>
    <t>Krug Inc. - SP510112648</t>
  </si>
  <si>
    <t>Krug Inc. - SP510113248</t>
  </si>
  <si>
    <t>Krug Inc. - SP510113848</t>
  </si>
  <si>
    <t>Krug Inc. - SP510114448</t>
  </si>
  <si>
    <t>Krug Inc. - SP510115048</t>
  </si>
  <si>
    <t>Krug Inc. - SP510115648</t>
  </si>
  <si>
    <t>Krug Inc. - SP510116248</t>
  </si>
  <si>
    <t>Krug Inc. - SP510116848</t>
  </si>
  <si>
    <t>Krug Inc. - SP510117448</t>
  </si>
  <si>
    <t>Krug Inc. - SP510118048</t>
  </si>
  <si>
    <t>Krug Inc. - SP510118648</t>
  </si>
  <si>
    <t>Krug Inc. - SP510112054</t>
  </si>
  <si>
    <t>Krug Inc. - SP510112654</t>
  </si>
  <si>
    <t>Krug Inc. - SP510113254</t>
  </si>
  <si>
    <t>Krug Inc. - SP510113854</t>
  </si>
  <si>
    <t>Krug Inc. - SP510119042</t>
  </si>
  <si>
    <t>Krug Inc. - SP510119048</t>
  </si>
  <si>
    <t>Krug Inc. - SP510114454</t>
  </si>
  <si>
    <t>Krug Inc. - SP510115054</t>
  </si>
  <si>
    <t>Krug Inc. - SP510115654</t>
  </si>
  <si>
    <t>Krug Inc. - SP510116254</t>
  </si>
  <si>
    <t>Krug Inc. - SP510116854</t>
  </si>
  <si>
    <t>Krug Inc. - SP510117454</t>
  </si>
  <si>
    <t>Krug Inc. - SP510118054</t>
  </si>
  <si>
    <t>Krug Inc. - SP510118654</t>
  </si>
  <si>
    <t>Krug Inc. - SP510119054</t>
  </si>
  <si>
    <t>Krug Inc. - SP510112060</t>
  </si>
  <si>
    <t>Krug Inc. - SP510112660</t>
  </si>
  <si>
    <t>Krug Inc. - SP510113260</t>
  </si>
  <si>
    <t>Krug Inc. - SP510113860</t>
  </si>
  <si>
    <t>Krug Inc. - SP510114460</t>
  </si>
  <si>
    <t>Krug Inc. - SP510115060</t>
  </si>
  <si>
    <t>Krug Inc. - SP510115660</t>
  </si>
  <si>
    <t>Krug Inc. - SP510116260</t>
  </si>
  <si>
    <t>Krug Inc. - SP510116860</t>
  </si>
  <si>
    <t>Krug Inc. - SP510117460</t>
  </si>
  <si>
    <t>Krug Inc. - SP510118060</t>
  </si>
  <si>
    <t>Krug Inc. - SP510118660</t>
  </si>
  <si>
    <t>Krug Inc. - SP510119060</t>
  </si>
  <si>
    <t>Krug Inc. - SP51041926054</t>
  </si>
  <si>
    <t>Krug Inc. - SP51041206054</t>
  </si>
  <si>
    <t>Krug Inc. - SP51041266054</t>
  </si>
  <si>
    <t>Krug Inc. - SP51041326054</t>
  </si>
  <si>
    <t>Krug Inc. - SP51041386054</t>
  </si>
  <si>
    <t>Krug Inc. - SP51041446054</t>
  </si>
  <si>
    <t>Krug Inc. - SP51041506054</t>
  </si>
  <si>
    <t>Krug Inc. - SP51041566054</t>
  </si>
  <si>
    <t>Krug Inc. - SP51041626054</t>
  </si>
  <si>
    <t>Krug Inc. - SP51041686054</t>
  </si>
  <si>
    <t>Krug Inc. - SP51041746054</t>
  </si>
  <si>
    <t>Krug Inc. - SP51041806054</t>
  </si>
  <si>
    <t>Krug Inc. - SP51041866054</t>
  </si>
  <si>
    <t>Krug Inc. - SP51041264236</t>
  </si>
  <si>
    <t>Krug Inc. - SP51041324236</t>
  </si>
  <si>
    <t>Krug Inc. - SP51041384236</t>
  </si>
  <si>
    <t>Krug Inc. - SP51041444236</t>
  </si>
  <si>
    <t>Krug Inc. - SP51041504236</t>
  </si>
  <si>
    <t>Krug Inc. - SP51041564236</t>
  </si>
  <si>
    <t>Krug Inc. - SP51041624236</t>
  </si>
  <si>
    <t>Krug Inc. - SP51041684236</t>
  </si>
  <si>
    <t>Krug Inc. - SP51041744236</t>
  </si>
  <si>
    <t>Krug Inc. - SP51041804236</t>
  </si>
  <si>
    <t>Krug Inc. - SP51041864236</t>
  </si>
  <si>
    <t>Krug Inc. - SP51041924236</t>
  </si>
  <si>
    <t>Krug Inc. - SP51041264842</t>
  </si>
  <si>
    <t>Krug Inc. - SP51041324842</t>
  </si>
  <si>
    <t>Krug Inc. - SP51041384842</t>
  </si>
  <si>
    <t>Krug Inc. - SP51041444842</t>
  </si>
  <si>
    <t>Krug Inc. - SP51041504842</t>
  </si>
  <si>
    <t>Krug Inc. - SP51041564842</t>
  </si>
  <si>
    <t>Krug Inc. - SP51041624842</t>
  </si>
  <si>
    <t>Krug Inc. - SP51041684842</t>
  </si>
  <si>
    <t>Krug Inc. - SP51041744842</t>
  </si>
  <si>
    <t>Krug Inc. - SP51041804842</t>
  </si>
  <si>
    <t>Krug Inc. - SP51041864842</t>
  </si>
  <si>
    <t>Krug Inc. - SP51041924842</t>
  </si>
  <si>
    <t>Krug Inc. - SP51041205448</t>
  </si>
  <si>
    <t>Krug Inc. - SP51041265448</t>
  </si>
  <si>
    <t>Krug Inc. - SP51041325448</t>
  </si>
  <si>
    <t>Krug Inc. - SP51041385448</t>
  </si>
  <si>
    <t>Krug Inc. - SP51041445448</t>
  </si>
  <si>
    <t>Krug Inc. - SP51041505448</t>
  </si>
  <si>
    <t>Krug Inc. - SP51041565448</t>
  </si>
  <si>
    <t>Krug Inc. - SP51041625448</t>
  </si>
  <si>
    <t>Krug Inc. - SP51041685448</t>
  </si>
  <si>
    <t>Krug Inc. - SP51041745448</t>
  </si>
  <si>
    <t>Krug Inc. - SP51041805448</t>
  </si>
  <si>
    <t>Krug Inc. - SP51041865448</t>
  </si>
  <si>
    <t>Krug Inc. - SP51041925448</t>
  </si>
  <si>
    <t>Krug Inc. - SP510212642</t>
  </si>
  <si>
    <t>Krug Inc. - SP510213242</t>
  </si>
  <si>
    <t>Krug Inc. - SP510213842</t>
  </si>
  <si>
    <t>Krug Inc. - SP510214442</t>
  </si>
  <si>
    <t>Krug Inc. - SP510215042</t>
  </si>
  <si>
    <t>Krug Inc. - SP510215642</t>
  </si>
  <si>
    <t>Krug Inc. - SP510216242</t>
  </si>
  <si>
    <t>Krug Inc. - SP510216842</t>
  </si>
  <si>
    <t>Krug Inc. - SP510217442</t>
  </si>
  <si>
    <t>Krug Inc. - SP510218042</t>
  </si>
  <si>
    <t>Krug Inc. - SP510218642</t>
  </si>
  <si>
    <t>Krug Inc. - SP510219042</t>
  </si>
  <si>
    <t>Krug Inc. - SP510212648</t>
  </si>
  <si>
    <t>Krug Inc. - SP510213248</t>
  </si>
  <si>
    <t>Krug Inc. - SP510213848</t>
  </si>
  <si>
    <t>Krug Inc. - SP510214448</t>
  </si>
  <si>
    <t>Krug Inc. - SP510215048</t>
  </si>
  <si>
    <t>Krug Inc. - SP510215648</t>
  </si>
  <si>
    <t>Krug Inc. - SP510216248</t>
  </si>
  <si>
    <t>Krug Inc. - SP510216848</t>
  </si>
  <si>
    <t>Krug Inc. - SP510217448</t>
  </si>
  <si>
    <t>Krug Inc. - SP510218048</t>
  </si>
  <si>
    <t>Krug Inc. - SP510218648</t>
  </si>
  <si>
    <t>Krug Inc. - SP510219048</t>
  </si>
  <si>
    <t>Krug Inc. - SP510212054</t>
  </si>
  <si>
    <t>Krug Inc. - SP510212654</t>
  </si>
  <si>
    <t>Krug Inc. - SP510213254</t>
  </si>
  <si>
    <t>Krug Inc. - SP510213854</t>
  </si>
  <si>
    <t>Krug Inc. - SP510214454</t>
  </si>
  <si>
    <t>Krug Inc. - SP510215054</t>
  </si>
  <si>
    <t>Krug Inc. - SP510215654</t>
  </si>
  <si>
    <t>Krug Inc. - SP510216254</t>
  </si>
  <si>
    <t>Krug Inc. - SP510216854</t>
  </si>
  <si>
    <t>Krug Inc. - SP510217454</t>
  </si>
  <si>
    <t>Krug Inc. - SP510218054</t>
  </si>
  <si>
    <t>Krug Inc. - SP510218654</t>
  </si>
  <si>
    <t>Krug Inc. - SP510219054</t>
  </si>
  <si>
    <t>Krug Inc. - SP510212060</t>
  </si>
  <si>
    <t>Krug Inc. - SP510212660</t>
  </si>
  <si>
    <t>Krug Inc. - SP510213260</t>
  </si>
  <si>
    <t>Krug Inc. - SP510213860</t>
  </si>
  <si>
    <t>Krug Inc. - SP510214460</t>
  </si>
  <si>
    <t>Krug Inc. - SP510215060</t>
  </si>
  <si>
    <t>Krug Inc. - SP510215660</t>
  </si>
  <si>
    <t>Krug Inc. - SP510216260</t>
  </si>
  <si>
    <t>Krug Inc. - SP510216860</t>
  </si>
  <si>
    <t>Krug Inc. - SP510217460</t>
  </si>
  <si>
    <t>Krug Inc. - SP510218060</t>
  </si>
  <si>
    <t>Krug Inc. - SP510218660</t>
  </si>
  <si>
    <t>Krug Inc. - SP510219060</t>
  </si>
  <si>
    <t>MEDIUM RECTANGULAR WITH COMBO BASES</t>
  </si>
  <si>
    <t>NUVO CONFERENCE WOOD</t>
  </si>
  <si>
    <t>NUVO CONFERENCE LAMINATE</t>
  </si>
  <si>
    <t>MEDIUM BOAT SHAPE WITH COMBO BASES</t>
  </si>
  <si>
    <t>MEDIUM RACETRACK SHAPE WITH COMBO BASES</t>
  </si>
  <si>
    <t>LARGE RECTANGULAR WITH COMBO BASES</t>
  </si>
  <si>
    <t>LARGE BOAT SHAPE  WITH COMBO BASES</t>
  </si>
  <si>
    <t>LARGE RACETRACK  WITH COMBO BASES</t>
  </si>
  <si>
    <t>Greenguard Finish on wood with 11% upcharge</t>
  </si>
  <si>
    <t>72053629DB</t>
  </si>
  <si>
    <t>7261423029DB</t>
  </si>
  <si>
    <t>HP Laminate Top / PVC Edge, Disc Base</t>
  </si>
  <si>
    <t>HP Laminate Top / PVC Edge,  Square Metal Base</t>
  </si>
  <si>
    <t>Krug Inc.- 72053029DB</t>
  </si>
  <si>
    <t>Krug Inc.-72053629DB</t>
  </si>
  <si>
    <t>Krug Inc.-72054229DB</t>
  </si>
  <si>
    <t>Krug Inc.-72054829DB</t>
  </si>
  <si>
    <t>Krug Inc.-72055429DB</t>
  </si>
  <si>
    <t>Krug Inc.-7261303029SQ</t>
  </si>
  <si>
    <t>Krug Inc.-7261363629SQ</t>
  </si>
  <si>
    <t>Krug Inc.-61THSQ-4242LP</t>
  </si>
  <si>
    <t>Krug Inc.-61THSQ-4848LP</t>
  </si>
  <si>
    <t>Krug Inc.-7261483029DB</t>
  </si>
  <si>
    <t>Round Small Laminate Top, Pedestal base</t>
  </si>
  <si>
    <t>Square  Small Laminate Top, Pedestal base</t>
  </si>
  <si>
    <t>Square  Small Laminate Top, Post Legs</t>
  </si>
  <si>
    <t>Rectangular Small Laminate Table with Post Legs</t>
  </si>
  <si>
    <t>Rectangular Small Laminate Table with Pedestal Base</t>
  </si>
  <si>
    <t>CHIT CHAT &amp; V2 TABLES</t>
  </si>
  <si>
    <t>SQUARE SHAPE</t>
  </si>
  <si>
    <t>ROUND SHAPE</t>
  </si>
  <si>
    <t>7261303029SQ                                 61THSQ-3636</t>
  </si>
  <si>
    <t>Krug Inc.-61THSQ-3636LP</t>
  </si>
  <si>
    <t>6CMUCHRERL42L60TYXX</t>
  </si>
  <si>
    <t>MU</t>
  </si>
  <si>
    <t>Counter Height</t>
  </si>
  <si>
    <t>6CMUCHRERL42L66TYXX</t>
  </si>
  <si>
    <t>6CMUCHRERL42L72TYXX</t>
  </si>
  <si>
    <t>6CMUCHRERL42L78TYXX</t>
  </si>
  <si>
    <t>6CMUCHRERL42L84TYXX</t>
  </si>
  <si>
    <t>6CMUCHRERL42L90TYXX</t>
  </si>
  <si>
    <t>6CMUCHRERL42L96TYXX</t>
  </si>
  <si>
    <t>6CMUCHRERL42102TYXX</t>
  </si>
  <si>
    <t>6CMUCHRERL42108TYXX</t>
  </si>
  <si>
    <t>6CMUCHRERL42114TYXX</t>
  </si>
  <si>
    <t>6CMUCHRERL42120TYXX</t>
  </si>
  <si>
    <t>6CMUCHRERL48L60TYXX</t>
  </si>
  <si>
    <t>6CMUCHRERL48L66TYXX</t>
  </si>
  <si>
    <t>6CMUCHRERL48L72TYXX</t>
  </si>
  <si>
    <t>6CMUCHRERL48L78TYXX</t>
  </si>
  <si>
    <t>6CMUCHRERL48L84TYXX</t>
  </si>
  <si>
    <t>6CMUCHRERL48L90TYXX</t>
  </si>
  <si>
    <t>6CMUCHRERL48L96TYXX</t>
  </si>
  <si>
    <t>6CMUCHRERL48102TYXX</t>
  </si>
  <si>
    <t>6CMUCHRERL48108TYXX</t>
  </si>
  <si>
    <t>6CMUCHRERL48114TYXX</t>
  </si>
  <si>
    <t>6CMUCHRERL48120TYXX</t>
  </si>
  <si>
    <t>6CMUCHRERL54L60TYXX</t>
  </si>
  <si>
    <t>6CMUCHRERL54L66TYXX</t>
  </si>
  <si>
    <t>6CMUCHRERL54L72TYXX</t>
  </si>
  <si>
    <t>6CMUCHRERL54L78TYXX</t>
  </si>
  <si>
    <t>6CMUCHRERL54L84TYXX</t>
  </si>
  <si>
    <t>6CMUCHRERL54L90TYXX</t>
  </si>
  <si>
    <t>6CMUCHRERL54L96TYXX</t>
  </si>
  <si>
    <t>6CMUCHRERL54102TYXX</t>
  </si>
  <si>
    <t>6CMUCHRERL54108TYXX</t>
  </si>
  <si>
    <t>6CMUCHRERL54114TYXX</t>
  </si>
  <si>
    <t>6CMUCHRERL54120TYXX</t>
  </si>
  <si>
    <t>6CMUCHRERL60L60TYXX</t>
  </si>
  <si>
    <t>6CMUCHRERL60L66TYXX</t>
  </si>
  <si>
    <t>6CMUCHRERL60L72TYXX</t>
  </si>
  <si>
    <t>6CMUCHRERL60L78TYXX</t>
  </si>
  <si>
    <t>6CMUCHRERL60L84TYXX</t>
  </si>
  <si>
    <t>6CMUCHRERL60L90TYXX</t>
  </si>
  <si>
    <t>6CMUCHRERL60L96TYXX</t>
  </si>
  <si>
    <t>6CMUCHRERL60102TYXX</t>
  </si>
  <si>
    <t>6CMUCHRERL60108TYXX</t>
  </si>
  <si>
    <t>6CMUCHRERL60114TYXX</t>
  </si>
  <si>
    <t>6CMUCHRERL60120TYXX</t>
  </si>
  <si>
    <t>6CMUCHREDL42L60TYXX</t>
  </si>
  <si>
    <t>6CMUCHREDL42L66TYXX</t>
  </si>
  <si>
    <t>6CMUCHREDL42L72TYXX</t>
  </si>
  <si>
    <t>6CMUCHREDL42L78TYXX</t>
  </si>
  <si>
    <t>6CMUCHREDL42L84TYXX</t>
  </si>
  <si>
    <t>6CMUCHREDL42L90TYXX</t>
  </si>
  <si>
    <t>6CMUCHREDL42L96TYXX</t>
  </si>
  <si>
    <t>6CMUCHREDL42102TYXX</t>
  </si>
  <si>
    <t>6CMUCHREDL42108TYXX</t>
  </si>
  <si>
    <t>6CMUCHREDL42114TYXX</t>
  </si>
  <si>
    <t>6CMUCHREDL42120TYXX</t>
  </si>
  <si>
    <t>6CMUCHREDL48L60TYXX</t>
  </si>
  <si>
    <t>6CMUCHREDL48L66TYXX</t>
  </si>
  <si>
    <t>6CMUCHREDL48L72TYXX</t>
  </si>
  <si>
    <t>6CMUCHREDL48L78TYXX</t>
  </si>
  <si>
    <t>6CMUCHREDL48L84TYXX</t>
  </si>
  <si>
    <t>6CMUCHREDL48L90TYXX</t>
  </si>
  <si>
    <t>6CMUCHREDL48L96TYXX</t>
  </si>
  <si>
    <t>6CMUCHREDL48102TYXX</t>
  </si>
  <si>
    <t>6CMUCHREDL48108TYXX</t>
  </si>
  <si>
    <t>6CMUCHREDL48114TYXX</t>
  </si>
  <si>
    <t>6CMUCHREDL48120TYXX</t>
  </si>
  <si>
    <t>6CMUCHREDL54L60TYXX</t>
  </si>
  <si>
    <t>6CMUCHREDL54L66TYXX</t>
  </si>
  <si>
    <t>6CMUCHREDL54L72TYXX</t>
  </si>
  <si>
    <t>6CMUCHREDL54L78TYXX</t>
  </si>
  <si>
    <t>6CMUCHREDL54L84TYXX</t>
  </si>
  <si>
    <t>6CMUCHREDL54L90TYXX</t>
  </si>
  <si>
    <t>6CMUCHREDL54L96TYXX</t>
  </si>
  <si>
    <t>6CMUCHREDL54102TYXX</t>
  </si>
  <si>
    <t>6CMUCHREDL54108TYXX</t>
  </si>
  <si>
    <t>6CMUCHREDL54114TYXX</t>
  </si>
  <si>
    <t>6CMUCHREDL54120TYXX</t>
  </si>
  <si>
    <t>6CMUCHREDL60L60TYXX</t>
  </si>
  <si>
    <t>6CMUCHREDL60L66TYXX</t>
  </si>
  <si>
    <t>6CMUCHREDL60L72TYXX</t>
  </si>
  <si>
    <t>6CMUCHREDL60L78TYXX</t>
  </si>
  <si>
    <t>6CMUCHREDL60L84TYXX</t>
  </si>
  <si>
    <t>6CMUCHREDL60L90TYXX</t>
  </si>
  <si>
    <t>6CMUCHREDL60L96TYXX</t>
  </si>
  <si>
    <t>6CMUCHREDL60102TYXX</t>
  </si>
  <si>
    <t>6CMUCHREDL60108TYXX</t>
  </si>
  <si>
    <t>6CMUCHREDL60114TYXX</t>
  </si>
  <si>
    <t>6CMUCHREDL60120TYXX</t>
  </si>
  <si>
    <t>ARTEMIS LAMINATE</t>
  </si>
  <si>
    <t>Multi Media Table, Rectangular, Counter Height, Double Monitor Mount, Laminate, Power and Data</t>
  </si>
  <si>
    <t>60x54</t>
  </si>
  <si>
    <t>66x54</t>
  </si>
  <si>
    <t>72x54</t>
  </si>
  <si>
    <t>78x54</t>
  </si>
  <si>
    <t>84x54</t>
  </si>
  <si>
    <t>90x54</t>
  </si>
  <si>
    <t>96x54</t>
  </si>
  <si>
    <t>102x54</t>
  </si>
  <si>
    <t>108x54</t>
  </si>
  <si>
    <t>114x54</t>
  </si>
  <si>
    <t>60x60</t>
  </si>
  <si>
    <t>66x60</t>
  </si>
  <si>
    <t>72x60</t>
  </si>
  <si>
    <t>78x60</t>
  </si>
  <si>
    <t>84x60</t>
  </si>
  <si>
    <t>90x60</t>
  </si>
  <si>
    <t>96x60</t>
  </si>
  <si>
    <t>102x60</t>
  </si>
  <si>
    <t>108x60</t>
  </si>
  <si>
    <t>114x60</t>
  </si>
  <si>
    <t>Multi Media Table, Rectangular, Counter Height, Single Monitor Mount, Laminate, Power and Data</t>
  </si>
  <si>
    <t>Greenguard finish included in laminate - Actual size to be quoted by Engineering</t>
  </si>
  <si>
    <t>Greenguard Finish on wood with 11% upcharge - Actual size to be quoted by Engineering</t>
  </si>
  <si>
    <t>Krug Inc. - 72MHR72424</t>
  </si>
  <si>
    <t>Krug Inc. - 72MHR66424</t>
  </si>
  <si>
    <t>Krug Inc. - 72MHR60424</t>
  </si>
  <si>
    <t>Krug Inc. - 72MHR78424</t>
  </si>
  <si>
    <t>Krug Inc. - 72MHR78484</t>
  </si>
  <si>
    <t>Krug Inc. - 72MHR78544</t>
  </si>
  <si>
    <t>Krug Inc. - 72MHR78604</t>
  </si>
  <si>
    <t>Krug Inc. - 72MHR84424</t>
  </si>
  <si>
    <t>Krug Inc. - 72MHR96424</t>
  </si>
  <si>
    <t>Krug Inc. - 72MHR90424</t>
  </si>
  <si>
    <t>Krug Inc. - 72MHR102424</t>
  </si>
  <si>
    <t>Krug Inc. - 72MHR108424</t>
  </si>
  <si>
    <t>Krug Inc. - 72MHR114424</t>
  </si>
  <si>
    <t>Krug Inc. - 72MHR72484</t>
  </si>
  <si>
    <t>Krug Inc. - 72MHR72544</t>
  </si>
  <si>
    <t>Krug Inc. - 72MHR72604</t>
  </si>
  <si>
    <t>Krug Inc. - 72MHR60484</t>
  </si>
  <si>
    <t>Krug Inc. - 72MHR66484</t>
  </si>
  <si>
    <t>Krug Inc. - 72MHR84484</t>
  </si>
  <si>
    <t>Krug Inc. - 72MHR90484</t>
  </si>
  <si>
    <t>Krug Inc. - 72MHR96484</t>
  </si>
  <si>
    <t>Krug Inc. - 72MHR60544</t>
  </si>
  <si>
    <t>Krug Inc. - 72MHR66544</t>
  </si>
  <si>
    <t>Krug Inc. - 72MHR84544</t>
  </si>
  <si>
    <t>Krug Inc. - 72MHR90544</t>
  </si>
  <si>
    <t>Krug Inc. - 72MHR96544</t>
  </si>
  <si>
    <t>Krug Inc. - 72MHR60604</t>
  </si>
  <si>
    <t>Krug Inc. - 72MHR66604</t>
  </si>
  <si>
    <t>Krug Inc. - 72MHR84604</t>
  </si>
  <si>
    <t>Krug Inc. - 72MHR120424</t>
  </si>
  <si>
    <t>Krug Inc. - 72MHR102484</t>
  </si>
  <si>
    <t>Krug Inc. - 72MHR108484</t>
  </si>
  <si>
    <t>Krug Inc. - 72MHR114484</t>
  </si>
  <si>
    <t>Krug Inc. - 72MHR120484</t>
  </si>
  <si>
    <t>Krug Inc. - 72MHR102544</t>
  </si>
  <si>
    <t>Krug Inc. - 72MHR108544</t>
  </si>
  <si>
    <t>Krug Inc. - 72MHR114544</t>
  </si>
  <si>
    <t>Krug Inc. - 72MHR120544</t>
  </si>
  <si>
    <t>Krug Inc. - 72MHR90604</t>
  </si>
  <si>
    <t>Krug Inc. - 72MHR96604</t>
  </si>
  <si>
    <t>Krug Inc. - 72MHR102604</t>
  </si>
  <si>
    <t>Krug Inc. - 72MHR108604</t>
  </si>
  <si>
    <t>Krug Inc. - 72MHR114604</t>
  </si>
  <si>
    <t>Krug Inc. - 72MHR120604</t>
  </si>
  <si>
    <t>RECTANGULAR COUNTER HEIGHT</t>
  </si>
  <si>
    <t>6CMUCHTZRL42L60TYXX</t>
  </si>
  <si>
    <t>6CMUCHTZRL42L66TYXX</t>
  </si>
  <si>
    <t>6CMUCHTZRL42L72TYXX</t>
  </si>
  <si>
    <t>6CMUCHTZRL42L78TYXX</t>
  </si>
  <si>
    <t>6CMUCHTZRL42L84TYXX</t>
  </si>
  <si>
    <t>6CMUCHTZRL42L90TYXX</t>
  </si>
  <si>
    <t>6CMUCHTZRL42L96TYXX</t>
  </si>
  <si>
    <t>6CMUCHTZRL42102TYXX</t>
  </si>
  <si>
    <t>6CMUCHTZRL42108TYXX</t>
  </si>
  <si>
    <t>6CMUCHTZRL42114TYXX</t>
  </si>
  <si>
    <t>6CMUCHTZRL42120TYXX</t>
  </si>
  <si>
    <t>6CMUCHTZRL48L60TYXX</t>
  </si>
  <si>
    <t>6CMUCHTZRL48L66TYXX</t>
  </si>
  <si>
    <t>6CMUCHTZRL48L72TYXX</t>
  </si>
  <si>
    <t>6CMUCHTZRL48L78TYXX</t>
  </si>
  <si>
    <t>6CMUCHTZRL48L84TYXX</t>
  </si>
  <si>
    <t>6CMUCHTZRL48L90TYXX</t>
  </si>
  <si>
    <t>6CMUCHTZRL48L96TYXX</t>
  </si>
  <si>
    <t>6CMUCHTZRL48102TYXX</t>
  </si>
  <si>
    <t>6CMUCHTZRL48108TYXX</t>
  </si>
  <si>
    <t>6CMUCHTZRL48114TYXX</t>
  </si>
  <si>
    <t>6CMUCHTZRL48120TYXX</t>
  </si>
  <si>
    <t>6CMUCHTZRL54L60TYXX</t>
  </si>
  <si>
    <t>6CMUCHTZRL54L66TYXX</t>
  </si>
  <si>
    <t>6CMUCHTZRL54L72TYXX</t>
  </si>
  <si>
    <t>6CMUCHTZRL54L78TYXX</t>
  </si>
  <si>
    <t>6CMUCHTZRL54L84TYXX</t>
  </si>
  <si>
    <t>6CMUCHTZRL54L90TYXX</t>
  </si>
  <si>
    <t>6CMUCHTZRL54L96TYXX</t>
  </si>
  <si>
    <t>6CMUCHTZRL54102TYXX</t>
  </si>
  <si>
    <t>6CMUCHTZRL54108TYXX</t>
  </si>
  <si>
    <t>6CMUCHTZRL54114TYXX</t>
  </si>
  <si>
    <t>6CMUCHTZRL54120TYXX</t>
  </si>
  <si>
    <t>6CMUCHTZRL60L60TYXX</t>
  </si>
  <si>
    <t>6CMUCHTZRL60L66TYXX</t>
  </si>
  <si>
    <t>6CMUCHTZRL60L72TYXX</t>
  </si>
  <si>
    <t>6CMUCHTZRL60L78TYXX</t>
  </si>
  <si>
    <t>6CMUCHTZRL60L84TYXX</t>
  </si>
  <si>
    <t>6CMUCHTZRL60L90TYXX</t>
  </si>
  <si>
    <t>6CMUCHTZRL60L96TYXX</t>
  </si>
  <si>
    <t>6CMUCHTZRL60102TYXX</t>
  </si>
  <si>
    <t>6CMUCHTZRL60108TYXX</t>
  </si>
  <si>
    <t>6CMUCHTZRL60114TYXX</t>
  </si>
  <si>
    <t>6CMUCHTZRL60120TYXX</t>
  </si>
  <si>
    <t>6CMUCHTZDL42L60TYXX</t>
  </si>
  <si>
    <t>6CMUCHTZDL42L66TYXX</t>
  </si>
  <si>
    <t>6CMUCHTZDL42L72TYXX</t>
  </si>
  <si>
    <t>6CMUCHTZDL42L78TYXX</t>
  </si>
  <si>
    <t>6CMUCHTZDL42L84TYXX</t>
  </si>
  <si>
    <t>6CMUCHTZDL42L90TYXX</t>
  </si>
  <si>
    <t>6CMUCHTZDL42L96TYXX</t>
  </si>
  <si>
    <t>6CMUCHTZDL42102TYXX</t>
  </si>
  <si>
    <t>6CMUCHTZDL42108TYXX</t>
  </si>
  <si>
    <t>6CMUCHTZDL42114TYXX</t>
  </si>
  <si>
    <t>6CMUCHTZDL42120TYXX</t>
  </si>
  <si>
    <t>6CMUCHTZDL48L60TYXX</t>
  </si>
  <si>
    <t>6CMUCHTZDL48L66TYXX</t>
  </si>
  <si>
    <t>6CMUCHTZDL48L72TYXX</t>
  </si>
  <si>
    <t>6CMUCHTZDL48L78TYXX</t>
  </si>
  <si>
    <t>6CMUCHTZDL48L84TYXX</t>
  </si>
  <si>
    <t>6CMUCHTZDL48L90TYXX</t>
  </si>
  <si>
    <t>6CMUCHTZDL48L96TYXX</t>
  </si>
  <si>
    <t>6CMUCHTZDL48102TYXX</t>
  </si>
  <si>
    <t>6CMUCHTZDL48108TYXX</t>
  </si>
  <si>
    <t>6CMUCHTZDL48114TYXX</t>
  </si>
  <si>
    <t>6CMUCHTZDL48120TYXX</t>
  </si>
  <si>
    <t>6CMUCHTZDL54L60TYXX</t>
  </si>
  <si>
    <t>6CMUCHTZDL54L66TYXX</t>
  </si>
  <si>
    <t>6CMUCHTZDL54L72TYXX</t>
  </si>
  <si>
    <t>6CMUCHTZDL54L78TYXX</t>
  </si>
  <si>
    <t>6CMUCHTZDL54L84TYXX</t>
  </si>
  <si>
    <t>6CMUCHTZDL54L90TYXX</t>
  </si>
  <si>
    <t>6CMUCHTZDL54L96TYXX</t>
  </si>
  <si>
    <t>6CMUCHTZDL54102TYXX</t>
  </si>
  <si>
    <t>6CMUCHTZDL54108TYXX</t>
  </si>
  <si>
    <t>6CMUCHTZDL54114TYXX</t>
  </si>
  <si>
    <t>6CMUCHTZDL54120TYXX</t>
  </si>
  <si>
    <t>6CMUCHTZDL60L60TYXX</t>
  </si>
  <si>
    <t>6CMUCHTZDL60L66TYXX</t>
  </si>
  <si>
    <t>6CMUCHTZDL60L72TYXX</t>
  </si>
  <si>
    <t>6CMUCHTZDL60L78TYXX</t>
  </si>
  <si>
    <t>6CMUCHTZDL60L84TYXX</t>
  </si>
  <si>
    <t>6CMUCHTZDL60L90TYXX</t>
  </si>
  <si>
    <t>6CMUCHTZDL60L96TYXX</t>
  </si>
  <si>
    <t>6CMUCHTZDL60102TYXX</t>
  </si>
  <si>
    <t>6CMUCHTZDL60108TYXX</t>
  </si>
  <si>
    <t>6CMUCHTZDL60114TYXX</t>
  </si>
  <si>
    <t>6CMUCHTZDL60120TYXX</t>
  </si>
  <si>
    <t>6CMUCHDSRL42L60TYXX</t>
  </si>
  <si>
    <t>6CMUCHDSRL42L66TYXX</t>
  </si>
  <si>
    <t>6CMUCHDSRL42L72TYXX</t>
  </si>
  <si>
    <t>6CMUCHDSRL42L78TYXX</t>
  </si>
  <si>
    <t>6CMUCHDSRL42L84TYXX</t>
  </si>
  <si>
    <t>6CMUCHDSRL42L90TYXX</t>
  </si>
  <si>
    <t>6CMUCHDSRL42L96TYXX</t>
  </si>
  <si>
    <t>6CMUCHDSRL42102TYXX</t>
  </si>
  <si>
    <t>6CMUCHDSRL42108TYXX</t>
  </si>
  <si>
    <t>6CMUCHDSRL42114TYXX</t>
  </si>
  <si>
    <t>6CMUCHDSRL42120TYXX</t>
  </si>
  <si>
    <t>6CMUCHDSRL48L60TYXX</t>
  </si>
  <si>
    <t>6CMUCHDSRL48L66TYXX</t>
  </si>
  <si>
    <t>6CMUCHDSRL48L72TYXX</t>
  </si>
  <si>
    <t>6CMUCHDSRL48L78TYXX</t>
  </si>
  <si>
    <t>6CMUCHDSRL48L84TYXX</t>
  </si>
  <si>
    <t>6CMUCHDSRL48L90TYXX</t>
  </si>
  <si>
    <t>6CMUCHDSRL48L96TYXX</t>
  </si>
  <si>
    <t>6CMUCHDSRL48102TYXX</t>
  </si>
  <si>
    <t>6CMUCHDSRL48108TYXX</t>
  </si>
  <si>
    <t>6CMUCHDSRL48114TYXX</t>
  </si>
  <si>
    <t>6CMUCHDSRL48120TYXX</t>
  </si>
  <si>
    <t>6CMUCHDSRL54L60TYXX</t>
  </si>
  <si>
    <t>6CMUCHDSRL54L66TYXX</t>
  </si>
  <si>
    <t>6CMUCHDSRL54L72TYXX</t>
  </si>
  <si>
    <t>6CMUCHDSRL54L78TYXX</t>
  </si>
  <si>
    <t>6CMUCHDSRL54L84TYXX</t>
  </si>
  <si>
    <t>6CMUCHDSRL54L90TYXX</t>
  </si>
  <si>
    <t>6CMUCHDSRL54L96TYXX</t>
  </si>
  <si>
    <t>6CMUCHDSRL54102TYXX</t>
  </si>
  <si>
    <t>6CMUCHDSRL54108TYXX</t>
  </si>
  <si>
    <t>6CMUCHDSRL54114TYXX</t>
  </si>
  <si>
    <t>6CMUCHDSRL54120TYXX</t>
  </si>
  <si>
    <t>6CMUCHDSRL60L60TYXX</t>
  </si>
  <si>
    <t>6CMUCHDSRL60L66TYXX</t>
  </si>
  <si>
    <t>6CMUCHDSRL60L72TYXX</t>
  </si>
  <si>
    <t>6CMUCHDSRL60L78TYXX</t>
  </si>
  <si>
    <t>6CMUCHDSRL60L84TYXX</t>
  </si>
  <si>
    <t>6CMUCHDSRL60L90TYXX</t>
  </si>
  <si>
    <t>6CMUCHDSRL60L96TYXX</t>
  </si>
  <si>
    <t>6CMUCHDSRL60102TYXX</t>
  </si>
  <si>
    <t>6CMUCHDSRL60108TYXX</t>
  </si>
  <si>
    <t>6CMUCHDSRL60114TYXX</t>
  </si>
  <si>
    <t>6CMUCHDSRL60120TYXX</t>
  </si>
  <si>
    <t>6CMUCHDSDL42L60TYXX</t>
  </si>
  <si>
    <t>6CMUCHDSDL42L66TYXX</t>
  </si>
  <si>
    <t>6CMUCHDSDL42L72TYXX</t>
  </si>
  <si>
    <t>6CMUCHDSDL42L78TYXX</t>
  </si>
  <si>
    <t>6CMUCHDSDL42L84TYXX</t>
  </si>
  <si>
    <t>6CMUCHDSDL42L90TYXX</t>
  </si>
  <si>
    <t>6CMUCHDSDL42L96TYXX</t>
  </si>
  <si>
    <t>6CMUCHDSDL42102TYXX</t>
  </si>
  <si>
    <t>6CMUCHDSDL42108TYXX</t>
  </si>
  <si>
    <t>6CMUCHDSDL42114TYXX</t>
  </si>
  <si>
    <t>6CMUCHDSDL42120TYXX</t>
  </si>
  <si>
    <t>6CMUCHDSDL48L60TYXX</t>
  </si>
  <si>
    <t>6CMUCHDSDL48L66TYXX</t>
  </si>
  <si>
    <t>6CMUCHDSDL48L72TYXX</t>
  </si>
  <si>
    <t>6CMUCHDSDL48L78TYXX</t>
  </si>
  <si>
    <t>6CMUCHDSDL48L84TYXX</t>
  </si>
  <si>
    <t>6CMUCHDSDL48L90TYXX</t>
  </si>
  <si>
    <t>6CMUCHDSDL48L96TYXX</t>
  </si>
  <si>
    <t>6CMUCHDSDL48102TYXX</t>
  </si>
  <si>
    <t>6CMUCHDSDL48108TYXX</t>
  </si>
  <si>
    <t>6CMUCHDSDL48114TYXX</t>
  </si>
  <si>
    <t>6CMUCHDSDL48120TYXX</t>
  </si>
  <si>
    <t>6CMUCHDSDL54L60TYXX</t>
  </si>
  <si>
    <t>6CMUCHDSDL54L66TYXX</t>
  </si>
  <si>
    <t>6CMUCHDSDL54L72TYXX</t>
  </si>
  <si>
    <t>6CMUCHDSDL54L78TYXX</t>
  </si>
  <si>
    <t>6CMUCHDSDL54L84TYXX</t>
  </si>
  <si>
    <t>6CMUCHDSDL54L90TYXX</t>
  </si>
  <si>
    <t>6CMUCHDSDL54L96TYXX</t>
  </si>
  <si>
    <t>6CMUCHDSDL54102TYXX</t>
  </si>
  <si>
    <t>6CMUCHDSDL54108TYXX</t>
  </si>
  <si>
    <t>6CMUCHDSDL54114TYXX</t>
  </si>
  <si>
    <t>6CMUCHDSDL54120TYXX</t>
  </si>
  <si>
    <t>6CMUCHDSDL60L60TYXX</t>
  </si>
  <si>
    <t>6CMUCHDSDL60L66TYXX</t>
  </si>
  <si>
    <t>6CMUCHDSDL60L72TYXX</t>
  </si>
  <si>
    <t>6CMUCHDSDL60L78TYXX</t>
  </si>
  <si>
    <t>6CMUCHDSDL60L84TYXX</t>
  </si>
  <si>
    <t>6CMUCHDSDL60L90TYXX</t>
  </si>
  <si>
    <t>6CMUCHDSDL60L96TYXX</t>
  </si>
  <si>
    <t>6CMUCHDSDL60102TYXX</t>
  </si>
  <si>
    <t>6CMUCHDSDL60108TYXX</t>
  </si>
  <si>
    <t>6CMUCHDSDL60114TYXX</t>
  </si>
  <si>
    <t>6CMUCHDSDL60120TYXX</t>
  </si>
  <si>
    <t>D-SHAPE (BULLET) COUNTER HEIGHT</t>
  </si>
  <si>
    <t>TRAPEZOID COUNTER HEIGHT</t>
  </si>
  <si>
    <t>Multi Media Table, Trapezoid, Counter Height, Single Monitor Mount, Laminate, Power and Data</t>
  </si>
  <si>
    <t>Multi Media Table, Trapezoid, Counter Height, Double Monitor Mount, Laminate, Power and Data</t>
  </si>
  <si>
    <t>Multi Media Table, D-Shape, Counter Height, Single Monitor Mount, Laminate, Power and Data</t>
  </si>
  <si>
    <t>Multi Media Table, D-Shape, Counter Height, Double Monitor Mount, Laminate, Power and Data</t>
  </si>
  <si>
    <t>Krug Inc. - 72MHAR60424</t>
  </si>
  <si>
    <t>Krug Inc. - 72MHAR66424</t>
  </si>
  <si>
    <t>Krug Inc. - 72MHAR72424</t>
  </si>
  <si>
    <t>Krug Inc. - 72MHAR78424</t>
  </si>
  <si>
    <t>Krug Inc. - 72MHAR84424</t>
  </si>
  <si>
    <t>Krug Inc. - 72MHAR90424</t>
  </si>
  <si>
    <t>Krug Inc. - 72MHAR96424</t>
  </si>
  <si>
    <t>Krug Inc. - 72MHAR102424</t>
  </si>
  <si>
    <t>Krug Inc. - 72MHAR108424</t>
  </si>
  <si>
    <t>Krug Inc. - 72MHAR114424</t>
  </si>
  <si>
    <t>Krug Inc. - 72MHAR120424</t>
  </si>
  <si>
    <t>Krug Inc. - 72MHAR60484</t>
  </si>
  <si>
    <t>Krug Inc. - 72MHAR66484</t>
  </si>
  <si>
    <t>Krug Inc. - 72MHAR72484</t>
  </si>
  <si>
    <t>Krug Inc. - 72MHAR78484</t>
  </si>
  <si>
    <t>Krug Inc. - 72MHAR84484</t>
  </si>
  <si>
    <t>Krug Inc. - 72MHAR90484</t>
  </si>
  <si>
    <t>Krug Inc. - 72MHAR96484</t>
  </si>
  <si>
    <t>Krug Inc. - 72MHAR102484</t>
  </si>
  <si>
    <t>Krug Inc. - 72MHAR108484</t>
  </si>
  <si>
    <t>Krug Inc. - 72MHAR114484</t>
  </si>
  <si>
    <t>Krug Inc. - 72MHAR120484</t>
  </si>
  <si>
    <t>Krug Inc. - 72MHAR60544</t>
  </si>
  <si>
    <t>Krug Inc. - 72MHAR66544</t>
  </si>
  <si>
    <t>Krug Inc. - 72MHAR72544</t>
  </si>
  <si>
    <t>Krug Inc. - 72MHAR78544</t>
  </si>
  <si>
    <t>Krug Inc. - 72MHAR84544</t>
  </si>
  <si>
    <t>Krug Inc. - 72MHAR90544</t>
  </si>
  <si>
    <t>Krug Inc. - 72MHAR96544</t>
  </si>
  <si>
    <t>Krug Inc. - 72MHAR102544</t>
  </si>
  <si>
    <t>Krug Inc. - 72MHAR108544</t>
  </si>
  <si>
    <t>Krug Inc. - 72MHAR114544</t>
  </si>
  <si>
    <t>Krug Inc. - 72MHAR120544</t>
  </si>
  <si>
    <t>Krug Inc. - 72MHAR60604</t>
  </si>
  <si>
    <t>Krug Inc. - 72MHAR66604</t>
  </si>
  <si>
    <t>Krug Inc. - 72MHAR72604</t>
  </si>
  <si>
    <t>Krug Inc. - 72MHAR78604</t>
  </si>
  <si>
    <t>Krug Inc. - 72MHAR84604</t>
  </si>
  <si>
    <t>Krug Inc. - 72MHAR90604</t>
  </si>
  <si>
    <t>Krug Inc. - 72MHAR96604</t>
  </si>
  <si>
    <t>Krug Inc. - 72MHAR102604</t>
  </si>
  <si>
    <t>Krug Inc. - 72MHAR108604</t>
  </si>
  <si>
    <t>Krug Inc. - 72MHAR114604</t>
  </si>
  <si>
    <t>Krug Inc. - 72MHAR120604</t>
  </si>
  <si>
    <t>Krug Inc. - 72MHBR60424</t>
  </si>
  <si>
    <t>Krug Inc. - 72MHBR66424</t>
  </si>
  <si>
    <t>Krug Inc. - 72MHBR72424</t>
  </si>
  <si>
    <t>Krug Inc. - 72MHBR78424</t>
  </si>
  <si>
    <t>Krug Inc. - 72MHBR84424</t>
  </si>
  <si>
    <t>Krug Inc. - 72MHBR90424</t>
  </si>
  <si>
    <t>Krug Inc. - 72MHBR96424</t>
  </si>
  <si>
    <t>Krug Inc. - 72MHBR102424</t>
  </si>
  <si>
    <t>Krug Inc. - 72MHBR108424</t>
  </si>
  <si>
    <t>Krug Inc. - 72MHBR114424</t>
  </si>
  <si>
    <t>Krug Inc. - 72MHBR120424</t>
  </si>
  <si>
    <t>Krug Inc. - 72MHBR60484</t>
  </si>
  <si>
    <t>Krug Inc. - 72MHBR66484</t>
  </si>
  <si>
    <t>Krug Inc. - 72MHBR72484</t>
  </si>
  <si>
    <t>Krug Inc. - 72MHBR78484</t>
  </si>
  <si>
    <t>Krug Inc. - 72MHBR84484</t>
  </si>
  <si>
    <t>Krug Inc. - 72MHBR90484</t>
  </si>
  <si>
    <t>Krug Inc. - 72MHBR96484</t>
  </si>
  <si>
    <t>Krug Inc. - 72MHBR102484</t>
  </si>
  <si>
    <t>Krug Inc. - 72MHBR108484</t>
  </si>
  <si>
    <t>Krug Inc. - 72MHBR114484</t>
  </si>
  <si>
    <t>Krug Inc. - 72MHBR120484</t>
  </si>
  <si>
    <t>Krug Inc. - 72MHBR60544</t>
  </si>
  <si>
    <t>Krug Inc. - 72MHBR66544</t>
  </si>
  <si>
    <t>Krug Inc. - 72MHBR72544</t>
  </si>
  <si>
    <t>Krug Inc. - 72MHBR78544</t>
  </si>
  <si>
    <t>Krug Inc. - 72MHBR84544</t>
  </si>
  <si>
    <t>Krug Inc. - 72MHBR90544</t>
  </si>
  <si>
    <t>Krug Inc. - 72MHBR96544</t>
  </si>
  <si>
    <t>Krug Inc. - 72MHBR102544</t>
  </si>
  <si>
    <t>Krug Inc. - 72MHBR108544</t>
  </si>
  <si>
    <t>Krug Inc. - 72MHBR114544</t>
  </si>
  <si>
    <t>Krug Inc. - 72MHBR120544</t>
  </si>
  <si>
    <t>Krug Inc. - 72MHBR60604</t>
  </si>
  <si>
    <t>Krug Inc. - 72MHBR66604</t>
  </si>
  <si>
    <t>Krug Inc. - 72MHBR72604</t>
  </si>
  <si>
    <t>Krug Inc. - 72MHBR78604</t>
  </si>
  <si>
    <t>Krug Inc. - 72MHBR84604</t>
  </si>
  <si>
    <t>Krug Inc. - 72MHBR90604</t>
  </si>
  <si>
    <t>Krug Inc. - 72MHBR96604</t>
  </si>
  <si>
    <t>Krug Inc. - 72MHBR102604</t>
  </si>
  <si>
    <t>Krug Inc. - 72MHBR108604</t>
  </si>
  <si>
    <t>Krug Inc. - 72MHBR114604</t>
  </si>
  <si>
    <t>Krug Inc. - 72MHBR120604</t>
  </si>
  <si>
    <t>6CMUBHRERL42L60PYXX</t>
  </si>
  <si>
    <t>6CMUBHRERL42L66PYXX</t>
  </si>
  <si>
    <t>6CMUBHRERL42L72PYXX</t>
  </si>
  <si>
    <t>6CMUBHRERL42L78PYXX</t>
  </si>
  <si>
    <t>6CMUBHRERL42L84PYXX</t>
  </si>
  <si>
    <t>6CMUBHRERL42L90PYXX</t>
  </si>
  <si>
    <t>6CMUBHRERL42L96PYXX</t>
  </si>
  <si>
    <t>6CMUBHRERL42102PYXX</t>
  </si>
  <si>
    <t>6CMUBHRERL42108PYXX</t>
  </si>
  <si>
    <t>6CMUBHRERL42114PYXX</t>
  </si>
  <si>
    <t>6CMUBHRERL42120PYXX</t>
  </si>
  <si>
    <t>6CMUBHRERL48L60PYXX</t>
  </si>
  <si>
    <t>6CMUBHRERL48L66PYXX</t>
  </si>
  <si>
    <t>6CMUBHRERL48L72PYXX</t>
  </si>
  <si>
    <t>6CMUBHRERL48L78PYXX</t>
  </si>
  <si>
    <t>6CMUBHRERL48L84PYXX</t>
  </si>
  <si>
    <t>6CMUBHRERL48L90PYXX</t>
  </si>
  <si>
    <t>6CMUBHRERL48L96PYXX</t>
  </si>
  <si>
    <t>6CMUBHRERL48102PYXX</t>
  </si>
  <si>
    <t>6CMUBHRERL48108PYXX</t>
  </si>
  <si>
    <t>6CMUBHRERL48114PYXX</t>
  </si>
  <si>
    <t>6CMUBHRERL48120PYXX</t>
  </si>
  <si>
    <t>6CMUBHRERL54L60PYXX</t>
  </si>
  <si>
    <t>6CMUBHRERL54L66PYXX</t>
  </si>
  <si>
    <t>6CMUBHRERL54L72PYXX</t>
  </si>
  <si>
    <t>6CMUBHRERL54L78PYXX</t>
  </si>
  <si>
    <t>6CMUBHRERL54L84PYXX</t>
  </si>
  <si>
    <t>6CMUBHRERL54L90PYXX</t>
  </si>
  <si>
    <t>6CMUBHRERL54L96PYXX</t>
  </si>
  <si>
    <t>6CMUBHRERL54102PYXX</t>
  </si>
  <si>
    <t>6CMUBHRERL54108PYXX</t>
  </si>
  <si>
    <t>6CMUBHRERL54114PYXX</t>
  </si>
  <si>
    <t>6CMUBHRERL54120PYXX</t>
  </si>
  <si>
    <t>6CMUBHRERL60L60PYXX</t>
  </si>
  <si>
    <t>6CMUBHRERL60L66PYXX</t>
  </si>
  <si>
    <t>6CMUBHRERL60L72PYXX</t>
  </si>
  <si>
    <t>6CMUBHRERL60L78PYXX</t>
  </si>
  <si>
    <t>6CMUBHRERL60L84PYXX</t>
  </si>
  <si>
    <t>6CMUBHRERL60L90PYXX</t>
  </si>
  <si>
    <t>6CMUBHRERL60L96PYXX</t>
  </si>
  <si>
    <t>6CMUBHRERL60102PYXX</t>
  </si>
  <si>
    <t>6CMUBHRERL60108PYXX</t>
  </si>
  <si>
    <t>6CMUBHRERL60114PYXX</t>
  </si>
  <si>
    <t>6CMUBHRERL60120PYXX</t>
  </si>
  <si>
    <t>6CMUBHREDL42L60PYXX</t>
  </si>
  <si>
    <t>6CMUBHREDL42L66PYXX</t>
  </si>
  <si>
    <t>6CMUBHREDL42L72PYXX</t>
  </si>
  <si>
    <t>6CMUBHREDL42L78PYXX</t>
  </si>
  <si>
    <t>6CMUBHREDL42L84PYXX</t>
  </si>
  <si>
    <t>6CMUBHREDL42L90PYXX</t>
  </si>
  <si>
    <t>6CMUBHREDL42L96PYXX</t>
  </si>
  <si>
    <t>6CMUBHREDL42102PYXX</t>
  </si>
  <si>
    <t>6CMUBHREDL42108PYXX</t>
  </si>
  <si>
    <t>6CMUBHREDL42114PYXX</t>
  </si>
  <si>
    <t>6CMUBHREDL42120PYXX</t>
  </si>
  <si>
    <t>6CMUBHREDL48L60PYXX</t>
  </si>
  <si>
    <t>6CMUBHREDL48L66PYXX</t>
  </si>
  <si>
    <t>6CMUBHREDL48L72PYXX</t>
  </si>
  <si>
    <t>6CMUBHREDL48L78PYXX</t>
  </si>
  <si>
    <t>6CMUBHREDL48L84PYXX</t>
  </si>
  <si>
    <t>6CMUBHREDL48L90PYXX</t>
  </si>
  <si>
    <t>6CMUBHREDL48L96PYXX</t>
  </si>
  <si>
    <t>6CMUBHREDL48102PYXX</t>
  </si>
  <si>
    <t>6CMUBHREDL48108PYXX</t>
  </si>
  <si>
    <t>6CMUBHREDL48114PYXX</t>
  </si>
  <si>
    <t>6CMUBHREDL48120PYXX</t>
  </si>
  <si>
    <t>6CMUBHREDL54L60PYXX</t>
  </si>
  <si>
    <t>6CMUBHREDL54L66PYXX</t>
  </si>
  <si>
    <t>6CMUBHREDL54L72PYXX</t>
  </si>
  <si>
    <t>6CMUBHREDL54L78PYXX</t>
  </si>
  <si>
    <t>6CMUBHREDL54L84PYXX</t>
  </si>
  <si>
    <t>6CMUBHREDL54L90PYXX</t>
  </si>
  <si>
    <t>6CMUBHREDL54L96PYXX</t>
  </si>
  <si>
    <t>6CMUBHREDL54102PYXX</t>
  </si>
  <si>
    <t>6CMUBHREDL54108PYXX</t>
  </si>
  <si>
    <t>6CMUBHREDL54114PYXX</t>
  </si>
  <si>
    <t>6CMUBHREDL54120PYXX</t>
  </si>
  <si>
    <t>6CMUBHREDL60L60PYXX</t>
  </si>
  <si>
    <t>6CMUBHREDL60L66PYXX</t>
  </si>
  <si>
    <t>6CMUBHREDL60L72PYXX</t>
  </si>
  <si>
    <t>6CMUBHREDL60L78PYXX</t>
  </si>
  <si>
    <t>6CMUBHREDL60L84PYXX</t>
  </si>
  <si>
    <t>6CMUBHREDL60L90PYXX</t>
  </si>
  <si>
    <t>6CMUBHREDL60L96PYXX</t>
  </si>
  <si>
    <t>6CMUBHREDL60102PYXX</t>
  </si>
  <si>
    <t>6CMUBHREDL60108PYXX</t>
  </si>
  <si>
    <t>6CMUBHREDL60114PYXX</t>
  </si>
  <si>
    <t>6CMUBHREDL60120PYXX</t>
  </si>
  <si>
    <t>6CMUBHTZRL42L60PYXX</t>
  </si>
  <si>
    <t>6CMUBHTZRL42L66PYXX</t>
  </si>
  <si>
    <t>6CMUBHTZRL42L72PYXX</t>
  </si>
  <si>
    <t>6CMUBHTZRL42L78PYXX</t>
  </si>
  <si>
    <t>6CMUBHTZRL42L84PYXX</t>
  </si>
  <si>
    <t>6CMUBHTZRL42L90PYXX</t>
  </si>
  <si>
    <t>6CMUBHTZRL42L96PYXX</t>
  </si>
  <si>
    <t>6CMUBHTZRL42102PYXX</t>
  </si>
  <si>
    <t>6CMUBHTZRL42108PYXX</t>
  </si>
  <si>
    <t>6CMUBHTZRL42114PYXX</t>
  </si>
  <si>
    <t>6CMUBHTZRL42120PYXX</t>
  </si>
  <si>
    <t>6CMUBHTZRL48L60PYXX</t>
  </si>
  <si>
    <t>6CMUBHTZRL48L66PYXX</t>
  </si>
  <si>
    <t>6CMUBHTZRL48L72PYXX</t>
  </si>
  <si>
    <t>6CMUBHTZRL48L78PYXX</t>
  </si>
  <si>
    <t>6CMUBHTZRL48L84PYXX</t>
  </si>
  <si>
    <t>6CMUBHTZRL48L90PYXX</t>
  </si>
  <si>
    <t>6CMUBHTZRL48L96PYXX</t>
  </si>
  <si>
    <t>6CMUBHTZRL48102PYXX</t>
  </si>
  <si>
    <t>6CMUBHTZRL48108PYXX</t>
  </si>
  <si>
    <t>6CMUBHTZRL48114PYXX</t>
  </si>
  <si>
    <t>6CMUBHTZRL48120PYXX</t>
  </si>
  <si>
    <t>6CMUBHTZRL54L60PYXX</t>
  </si>
  <si>
    <t>6CMUBHTZRL54L66PYXX</t>
  </si>
  <si>
    <t>6CMUBHTZRL54L72PYXX</t>
  </si>
  <si>
    <t>6CMUBHTZRL54L78PYXX</t>
  </si>
  <si>
    <t>6CMUBHTZRL54L84PYXX</t>
  </si>
  <si>
    <t>6CMUBHTZRL54L90PYXX</t>
  </si>
  <si>
    <t>6CMUBHTZRL54L96PYXX</t>
  </si>
  <si>
    <t>6CMUBHTZRL54102PYXX</t>
  </si>
  <si>
    <t>6CMUBHTZRL54108PYXX</t>
  </si>
  <si>
    <t>6CMUBHTZRL54114PYXX</t>
  </si>
  <si>
    <t>6CMUBHTZRL54120PYXX</t>
  </si>
  <si>
    <t>6CMUBHTZRL60L60PYXX</t>
  </si>
  <si>
    <t>6CMUBHTZRL60L66PYXX</t>
  </si>
  <si>
    <t>6CMUBHTZRL60L72PYXX</t>
  </si>
  <si>
    <t>6CMUBHTZRL60L78PYXX</t>
  </si>
  <si>
    <t>6CMUBHTZRL60L84PYXX</t>
  </si>
  <si>
    <t>6CMUBHTZRL60L90PYXX</t>
  </si>
  <si>
    <t>6CMUBHTZRL60L96PYXX</t>
  </si>
  <si>
    <t>6CMUBHTZRL60102PYXX</t>
  </si>
  <si>
    <t>6CMUBHTZRL60108PYXX</t>
  </si>
  <si>
    <t>6CMUBHTZRL60114PYXX</t>
  </si>
  <si>
    <t>6CMUBHTZRL60120PYXX</t>
  </si>
  <si>
    <t>6CMUBHTZDL42L60PYXX</t>
  </si>
  <si>
    <t>6CMUBHTZDL42L66PYXX</t>
  </si>
  <si>
    <t>6CMUBHTZDL42L72PYXX</t>
  </si>
  <si>
    <t>6CMUBHTZDL42L78PYXX</t>
  </si>
  <si>
    <t>6CMUBHTZDL42L84PYXX</t>
  </si>
  <si>
    <t>6CMUBHTZDL42L90PYXX</t>
  </si>
  <si>
    <t>6CMUBHTZDL42L96PYXX</t>
  </si>
  <si>
    <t>6CMUBHTZDL42102PYXX</t>
  </si>
  <si>
    <t>6CMUBHTZDL42108PYXX</t>
  </si>
  <si>
    <t>6CMUBHTZDL42114PYXX</t>
  </si>
  <si>
    <t>6CMUBHTZDL42120PYXX</t>
  </si>
  <si>
    <t>6CMUBHTZDL48L60PYXX</t>
  </si>
  <si>
    <t>6CMUBHTZDL48L66PYXX</t>
  </si>
  <si>
    <t>6CMUBHTZDL48L72PYXX</t>
  </si>
  <si>
    <t>6CMUBHTZDL48L78PYXX</t>
  </si>
  <si>
    <t>6CMUBHTZDL48L84PYXX</t>
  </si>
  <si>
    <t>6CMUBHTZDL48L90PYXX</t>
  </si>
  <si>
    <t>6CMUBHTZDL48L96PYXX</t>
  </si>
  <si>
    <t>6CMUBHTZDL48102PYXX</t>
  </si>
  <si>
    <t>6CMUBHTZDL48108PYXX</t>
  </si>
  <si>
    <t>6CMUBHTZDL48114PYXX</t>
  </si>
  <si>
    <t>6CMUBHTZDL48120PYXX</t>
  </si>
  <si>
    <t>6CMUBHTZDL54L60PYXX</t>
  </si>
  <si>
    <t>6CMUBHTZDL54L66PYXX</t>
  </si>
  <si>
    <t>6CMUBHTZDL54L72PYXX</t>
  </si>
  <si>
    <t>6CMUBHTZDL54L78PYXX</t>
  </si>
  <si>
    <t>6CMUBHTZDL54L84PYXX</t>
  </si>
  <si>
    <t>6CMUBHTZDL54L90PYXX</t>
  </si>
  <si>
    <t>6CMUBHTZDL54L96PYXX</t>
  </si>
  <si>
    <t>6CMUBHTZDL54102PYXX</t>
  </si>
  <si>
    <t>6CMUBHTZDL54108PYXX</t>
  </si>
  <si>
    <t>6CMUBHTZDL54114PYXX</t>
  </si>
  <si>
    <t>6CMUBHTZDL54120PYXX</t>
  </si>
  <si>
    <t>6CMUBHTZDL60L60PYXX</t>
  </si>
  <si>
    <t>6CMUBHTZDL60L66PYXX</t>
  </si>
  <si>
    <t>6CMUBHTZDL60L72PYXX</t>
  </si>
  <si>
    <t>6CMUBHTZDL60L78PYXX</t>
  </si>
  <si>
    <t>6CMUBHTZDL60L84PYXX</t>
  </si>
  <si>
    <t>6CMUBHTZDL60L90PYXX</t>
  </si>
  <si>
    <t>6CMUBHTZDL60L96PYXX</t>
  </si>
  <si>
    <t>6CMUBHTZDL60102PYXX</t>
  </si>
  <si>
    <t>6CMUBHTZDL60108PYXX</t>
  </si>
  <si>
    <t>6CMUBHTZDL60114PYXX</t>
  </si>
  <si>
    <t>6CMUBHTZDL60120PYXX</t>
  </si>
  <si>
    <t>6CMUBHDSRL42L60PYXX</t>
  </si>
  <si>
    <t>6CMUBHDSRL42L66PYXX</t>
  </si>
  <si>
    <t>6CMUBHDSRL42L72PYXX</t>
  </si>
  <si>
    <t>6CMUBHDSRL42L78PYXX</t>
  </si>
  <si>
    <t>6CMUBHDSRL42L84PYXX</t>
  </si>
  <si>
    <t>6CMUBHDSRL42L90PYXX</t>
  </si>
  <si>
    <t>6CMUBHDSRL42L96PYXX</t>
  </si>
  <si>
    <t>6CMUBHDSRL42102PYXX</t>
  </si>
  <si>
    <t>6CMUBHDSRL42108PYXX</t>
  </si>
  <si>
    <t>6CMUBHDSRL42114PYXX</t>
  </si>
  <si>
    <t>6CMUBHDSRL42120PYXX</t>
  </si>
  <si>
    <t>6CMUBHDSRL48L60PYXX</t>
  </si>
  <si>
    <t>6CMUBHDSRL48L66PYXX</t>
  </si>
  <si>
    <t>6CMUBHDSRL48L72PYXX</t>
  </si>
  <si>
    <t>6CMUBHDSRL48L78PYXX</t>
  </si>
  <si>
    <t>6CMUBHDSRL48L84PYXX</t>
  </si>
  <si>
    <t>6CMUBHDSRL48L90PYXX</t>
  </si>
  <si>
    <t>6CMUBHDSRL48L96PYXX</t>
  </si>
  <si>
    <t>6CMUBHDSRL48102PYXX</t>
  </si>
  <si>
    <t>6CMUBHDSRL48108PYXX</t>
  </si>
  <si>
    <t>6CMUBHDSRL48114PYXX</t>
  </si>
  <si>
    <t>6CMUBHDSRL48120PYXX</t>
  </si>
  <si>
    <t>6CMUBHDSRL54L60PYXX</t>
  </si>
  <si>
    <t>6CMUBHDSRL54L66PYXX</t>
  </si>
  <si>
    <t>6CMUBHDSRL54L72PYXX</t>
  </si>
  <si>
    <t>6CMUBHDSRL54L78PYXX</t>
  </si>
  <si>
    <t>6CMUBHDSRL54L84PYXX</t>
  </si>
  <si>
    <t>6CMUBHDSRL54L90PYXX</t>
  </si>
  <si>
    <t>6CMUBHDSRL54L96PYXX</t>
  </si>
  <si>
    <t>6CMUBHDSRL54102PYXX</t>
  </si>
  <si>
    <t>6CMUBHDSRL54108PYXX</t>
  </si>
  <si>
    <t>6CMUBHDSRL54114PYXX</t>
  </si>
  <si>
    <t>6CMUBHDSRL54120PYXX</t>
  </si>
  <si>
    <t>6CMUBHDSRL60L60PYXX</t>
  </si>
  <si>
    <t>6CMUBHDSRL60L66PYXX</t>
  </si>
  <si>
    <t>6CMUBHDSRL60L72PYXX</t>
  </si>
  <si>
    <t>6CMUBHDSRL60L78PYXX</t>
  </si>
  <si>
    <t>6CMUBHDSRL60L84PYXX</t>
  </si>
  <si>
    <t>6CMUBHDSRL60L90PYXX</t>
  </si>
  <si>
    <t>6CMUBHDSRL60L96PYXX</t>
  </si>
  <si>
    <t>6CMUBHDSRL60102PYXX</t>
  </si>
  <si>
    <t>6CMUBHDSRL60108PYXX</t>
  </si>
  <si>
    <t>6CMUBHDSRL60114PYXX</t>
  </si>
  <si>
    <t>6CMUBHDSRL60120PYXX</t>
  </si>
  <si>
    <t>6CMUBHDSDL42L60PYXX</t>
  </si>
  <si>
    <t>6CMUBHDSDL42L66PYXX</t>
  </si>
  <si>
    <t>6CMUBHDSDL42L72PYXX</t>
  </si>
  <si>
    <t>6CMUBHDSDL42L78PYXX</t>
  </si>
  <si>
    <t>6CMUBHDSDL42L84PYXX</t>
  </si>
  <si>
    <t>6CMUBHDSDL42L90PYXX</t>
  </si>
  <si>
    <t>6CMUBHDSDL42L96PYXX</t>
  </si>
  <si>
    <t>6CMUBHDSDL42102PYXX</t>
  </si>
  <si>
    <t>6CMUBHDSDL42108PYXX</t>
  </si>
  <si>
    <t>6CMUBHDSDL42114PYXX</t>
  </si>
  <si>
    <t>6CMUBHDSDL42120PYXX</t>
  </si>
  <si>
    <t>6CMUBHDSDL48L60PYXX</t>
  </si>
  <si>
    <t>6CMUBHDSDL48L66PYXX</t>
  </si>
  <si>
    <t>6CMUBHDSDL48L72PYXX</t>
  </si>
  <si>
    <t>6CMUBHDSDL48L78PYXX</t>
  </si>
  <si>
    <t>6CMUBHDSDL48L84PYXX</t>
  </si>
  <si>
    <t>6CMUBHDSDL48L90PYXX</t>
  </si>
  <si>
    <t>6CMUBHDSDL48L96PYXX</t>
  </si>
  <si>
    <t>6CMUBHDSDL48102PYXX</t>
  </si>
  <si>
    <t>6CMUBHDSDL48108PYXX</t>
  </si>
  <si>
    <t>6CMUBHDSDL48114PYXX</t>
  </si>
  <si>
    <t>6CMUBHDSDL48120PYXX</t>
  </si>
  <si>
    <t>6CMUBHDSDL54L60PYXX</t>
  </si>
  <si>
    <t>6CMUBHDSDL54L66PYXX</t>
  </si>
  <si>
    <t>6CMUBHDSDL54L72PYXX</t>
  </si>
  <si>
    <t>6CMUBHDSDL54L78PYXX</t>
  </si>
  <si>
    <t>6CMUBHDSDL54L84PYXX</t>
  </si>
  <si>
    <t>6CMUBHDSDL54L90PYXX</t>
  </si>
  <si>
    <t>6CMUBHDSDL54L96PYXX</t>
  </si>
  <si>
    <t>6CMUBHDSDL54102PYXX</t>
  </si>
  <si>
    <t>6CMUBHDSDL54108PYXX</t>
  </si>
  <si>
    <t>6CMUBHDSDL54114PYXX</t>
  </si>
  <si>
    <t>6CMUBHDSDL54120PYXX</t>
  </si>
  <si>
    <t>6CMUBHDSDL60L60PYXX</t>
  </si>
  <si>
    <t>6CMUBHDSDL60L66PYXX</t>
  </si>
  <si>
    <t>6CMUBHDSDL60L72PYXX</t>
  </si>
  <si>
    <t>6CMUBHDSDL60L78PYXX</t>
  </si>
  <si>
    <t>6CMUBHDSDL60L84PYXX</t>
  </si>
  <si>
    <t>6CMUBHDSDL60L90PYXX</t>
  </si>
  <si>
    <t>6CMUBHDSDL60L96PYXX</t>
  </si>
  <si>
    <t>6CMUBHDSDL60102PYXX</t>
  </si>
  <si>
    <t>6CMUBHDSDL60108PYXX</t>
  </si>
  <si>
    <t>6CMUBHDSDL60114PYXX</t>
  </si>
  <si>
    <t>6CMUBHDSDL60120PYXX</t>
  </si>
  <si>
    <t>Multi Media Table, Rectangular, Bar Height, Single Monitor Mount, Laminate, Power and Data</t>
  </si>
  <si>
    <t>Multi Media Table, Rectangular, Bar Height, Double Monitor Mount, Laminate, Power and Data</t>
  </si>
  <si>
    <t>Multi Media Table, Trapezoid, Bar Height, Single Monitor Mount, Laminate, Power and Data</t>
  </si>
  <si>
    <t>Multi Media Table, Trapezoid, Bar Height, Double Monitor Mount, Laminate, Power and Data</t>
  </si>
  <si>
    <t>Multi Media Table, D-Shape, Bar Height, Single Monitor Mount, Laminate, Power and Data</t>
  </si>
  <si>
    <t>Multi Media Table, D-Shape, Bar Height, Double Monitor Mount, Laminate, Power and Data</t>
  </si>
  <si>
    <t>6CMUHARERL42L60XYXX</t>
  </si>
  <si>
    <t>6CMUHARERL42L66XYXX</t>
  </si>
  <si>
    <t>6CMUHARERL42L72XYXX</t>
  </si>
  <si>
    <t>6CMUHARERL42L78XYXX</t>
  </si>
  <si>
    <t>6CMUHARERL42L84XYXX</t>
  </si>
  <si>
    <t>6CMUHARERL42L90XYXX</t>
  </si>
  <si>
    <t>6CMUHARERL42L96XYXX</t>
  </si>
  <si>
    <t>6CMUHARERL42102XYXX</t>
  </si>
  <si>
    <t>6CMUHARERL42108XYXX</t>
  </si>
  <si>
    <t>6CMUHARERL42114XYXX</t>
  </si>
  <si>
    <t>6CMUHARERL42120XYXX</t>
  </si>
  <si>
    <t>6CMUHARERL48L60XYXX</t>
  </si>
  <si>
    <t>6CMUHARERL48L66XYXX</t>
  </si>
  <si>
    <t>6CMUHARERL48L72XYXX</t>
  </si>
  <si>
    <t>6CMUHARERL48L78XYXX</t>
  </si>
  <si>
    <t>6CMUHARERL48L84XYXX</t>
  </si>
  <si>
    <t>6CMUHARERL48L90XYXX</t>
  </si>
  <si>
    <t>6CMUHARERL48L96XYXX</t>
  </si>
  <si>
    <t>6CMUHARERL48102XYXX</t>
  </si>
  <si>
    <t>6CMUHARERL48108XYXX</t>
  </si>
  <si>
    <t>6CMUHARERL48114XYXX</t>
  </si>
  <si>
    <t>6CMUHARERL48120XYXX</t>
  </si>
  <si>
    <t>6CMUHARERL54L60XYXX</t>
  </si>
  <si>
    <t>6CMUHARERL54L66XYXX</t>
  </si>
  <si>
    <t>6CMUHARERL54L72XYXX</t>
  </si>
  <si>
    <t>6CMUHARERL54L78XYXX</t>
  </si>
  <si>
    <t>6CMUHARERL54L84XYXX</t>
  </si>
  <si>
    <t>6CMUHARERL54L90XYXX</t>
  </si>
  <si>
    <t>6CMUHARERL54L96XYXX</t>
  </si>
  <si>
    <t>6CMUHARERL54102XYXX</t>
  </si>
  <si>
    <t>6CMUHARERL54108XYXX</t>
  </si>
  <si>
    <t>6CMUHARERL54114XYXX</t>
  </si>
  <si>
    <t>6CMUHARERL54120XYXX</t>
  </si>
  <si>
    <t>6CMUHARERL60L60XYXX</t>
  </si>
  <si>
    <t>6CMUHARERL60L66XYXX</t>
  </si>
  <si>
    <t>6CMUHARERL60L72XYXX</t>
  </si>
  <si>
    <t>6CMUHARERL60L78XYXX</t>
  </si>
  <si>
    <t>6CMUHARERL60L84XYXX</t>
  </si>
  <si>
    <t>6CMUHARERL60L90XYXX</t>
  </si>
  <si>
    <t>6CMUHARERL60L96XYXX</t>
  </si>
  <si>
    <t>6CMUHARERL60102XYXX</t>
  </si>
  <si>
    <t>6CMUHARERL60108XYXX</t>
  </si>
  <si>
    <t>6CMUHARERL60114XYXX</t>
  </si>
  <si>
    <t>6CMUHARERL60120XYXX</t>
  </si>
  <si>
    <t>6CMUHAREDL42L60XYXX</t>
  </si>
  <si>
    <t>6CMUHAREDL42L66XYXX</t>
  </si>
  <si>
    <t>6CMUHAREDL42L72XYXX</t>
  </si>
  <si>
    <t>6CMUHAREDL42L78XYXX</t>
  </si>
  <si>
    <t>6CMUHAREDL42L84XYXX</t>
  </si>
  <si>
    <t>6CMUHAREDL42L90XYXX</t>
  </si>
  <si>
    <t>6CMUHAREDL42L96XYXX</t>
  </si>
  <si>
    <t>6CMUHAREDL42102XYXX</t>
  </si>
  <si>
    <t>6CMUHAREDL42108XYXX</t>
  </si>
  <si>
    <t>6CMUHAREDL42114XYXX</t>
  </si>
  <si>
    <t>6CMUHAREDL42120XYXX</t>
  </si>
  <si>
    <t>6CMUHAREDL48L60XYXX</t>
  </si>
  <si>
    <t>6CMUHAREDL48L66XYXX</t>
  </si>
  <si>
    <t>6CMUHAREDL48L72XYXX</t>
  </si>
  <si>
    <t>6CMUHAREDL48L78XYXX</t>
  </si>
  <si>
    <t>6CMUHAREDL48L84XYXX</t>
  </si>
  <si>
    <t>6CMUHAREDL48L90XYXX</t>
  </si>
  <si>
    <t>6CMUHAREDL48L96XYXX</t>
  </si>
  <si>
    <t>6CMUHAREDL48102XYXX</t>
  </si>
  <si>
    <t>6CMUHAREDL48108XYXX</t>
  </si>
  <si>
    <t>6CMUHAREDL48114XYXX</t>
  </si>
  <si>
    <t>6CMUHAREDL48120XYXX</t>
  </si>
  <si>
    <t>6CMUHAREDL54L60XYXX</t>
  </si>
  <si>
    <t>6CMUHAREDL54L66XYXX</t>
  </si>
  <si>
    <t>6CMUHAREDL54L72XYXX</t>
  </si>
  <si>
    <t>6CMUHAREDL54L78XYXX</t>
  </si>
  <si>
    <t>6CMUHAREDL54L84XYXX</t>
  </si>
  <si>
    <t>6CMUHAREDL54L90XYXX</t>
  </si>
  <si>
    <t>6CMUHAREDL54L96XYXX</t>
  </si>
  <si>
    <t>6CMUHAREDL54102XYXX</t>
  </si>
  <si>
    <t>6CMUHAREDL54108XYXX</t>
  </si>
  <si>
    <t>6CMUHAREDL54114XYXX</t>
  </si>
  <si>
    <t>6CMUHAREDL54120XYXX</t>
  </si>
  <si>
    <t>6CMUHAREDL60L60XYXX</t>
  </si>
  <si>
    <t>6CMUHAREDL60L66XYXX</t>
  </si>
  <si>
    <t>6CMUHAREDL60L72XYXX</t>
  </si>
  <si>
    <t>6CMUHAREDL60L78XYXX</t>
  </si>
  <si>
    <t>6CMUHAREDL60L84XYXX</t>
  </si>
  <si>
    <t>6CMUHAREDL60L90XYXX</t>
  </si>
  <si>
    <t>6CMUHAREDL60L96XYXX</t>
  </si>
  <si>
    <t>6CMUHAREDL60102XYXX</t>
  </si>
  <si>
    <t>6CMUHAREDL60108XYXX</t>
  </si>
  <si>
    <t>6CMUHAREDL60114XYXX</t>
  </si>
  <si>
    <t>6CMUHAREDL60120XYXX</t>
  </si>
  <si>
    <t>6CMUHATZRL42L60XYXX</t>
  </si>
  <si>
    <t>6CMUHATZRL42L66XYXX</t>
  </si>
  <si>
    <t>6CMUHATZRL42L72XYXX</t>
  </si>
  <si>
    <t>6CMUHATZRL42L78XYXX</t>
  </si>
  <si>
    <t>6CMUHATZRL42L84XYXX</t>
  </si>
  <si>
    <t>6CMUHATZRL42L90XYXX</t>
  </si>
  <si>
    <t>6CMUHATZRL42L96XYXX</t>
  </si>
  <si>
    <t>6CMUHATZRL42102XYXX</t>
  </si>
  <si>
    <t>6CMUHATZRL42108XYXX</t>
  </si>
  <si>
    <t>6CMUHATZRL42114XYXX</t>
  </si>
  <si>
    <t>6CMUHATZRL42120XYXX</t>
  </si>
  <si>
    <t>6CMUHATZRL48L60XYXX</t>
  </si>
  <si>
    <t>6CMUHATZRL48L66XYXX</t>
  </si>
  <si>
    <t>6CMUHATZRL48L72XYXX</t>
  </si>
  <si>
    <t>6CMUHATZRL48L78XYXX</t>
  </si>
  <si>
    <t>6CMUHATZRL48L84XYXX</t>
  </si>
  <si>
    <t>6CMUHATZRL48L90XYXX</t>
  </si>
  <si>
    <t>6CMUHATZRL48L96XYXX</t>
  </si>
  <si>
    <t>6CMUHATZRL48102XYXX</t>
  </si>
  <si>
    <t>6CMUHATZRL48108XYXX</t>
  </si>
  <si>
    <t>6CMUHATZRL48114XYXX</t>
  </si>
  <si>
    <t>6CMUHATZRL48120XYXX</t>
  </si>
  <si>
    <t>6CMUHATZRL54L60XYXX</t>
  </si>
  <si>
    <t>6CMUHATZRL54L66XYXX</t>
  </si>
  <si>
    <t>6CMUHATZRL54L72XYXX</t>
  </si>
  <si>
    <t>6CMUHATZRL54L78XYXX</t>
  </si>
  <si>
    <t>6CMUHATZRL54L84XYXX</t>
  </si>
  <si>
    <t>6CMUHATZRL54L90XYXX</t>
  </si>
  <si>
    <t>6CMUHATZRL54L96XYXX</t>
  </si>
  <si>
    <t>6CMUHATZRL54102XYXX</t>
  </si>
  <si>
    <t>6CMUHATZRL54108XYXX</t>
  </si>
  <si>
    <t>6CMUHATZRL54114XYXX</t>
  </si>
  <si>
    <t>6CMUHATZRL54120XYXX</t>
  </si>
  <si>
    <t>6CMUHATZRL60L60XYXX</t>
  </si>
  <si>
    <t>6CMUHATZRL60L66XYXX</t>
  </si>
  <si>
    <t>6CMUHATZRL60L72XYXX</t>
  </si>
  <si>
    <t>6CMUHATZRL60L78XYXX</t>
  </si>
  <si>
    <t>6CMUHATZRL60L84XYXX</t>
  </si>
  <si>
    <t>6CMUHATZRL60L90XYXX</t>
  </si>
  <si>
    <t>6CMUHATZRL60L96XYXX</t>
  </si>
  <si>
    <t>6CMUHATZRL60102XYXX</t>
  </si>
  <si>
    <t>6CMUHATZRL60108XYXX</t>
  </si>
  <si>
    <t>6CMUHATZRL60114XYXX</t>
  </si>
  <si>
    <t>6CMUHATZRL60120XYXX</t>
  </si>
  <si>
    <t>6CMUHATZDL42L60XYXX</t>
  </si>
  <si>
    <t>6CMUHATZDL42L66XYXX</t>
  </si>
  <si>
    <t>6CMUHATZDL42L72XYXX</t>
  </si>
  <si>
    <t>6CMUHATZDL42L78XYXX</t>
  </si>
  <si>
    <t>6CMUHATZDL42L84XYXX</t>
  </si>
  <si>
    <t>6CMUHATZDL42L90XYXX</t>
  </si>
  <si>
    <t>6CMUHATZDL42L96XYXX</t>
  </si>
  <si>
    <t>6CMUHATZDL42102XYXX</t>
  </si>
  <si>
    <t>6CMUHATZDL42108XYXX</t>
  </si>
  <si>
    <t>6CMUHATZDL42114XYXX</t>
  </si>
  <si>
    <t>6CMUHATZDL42120XYXX</t>
  </si>
  <si>
    <t>6CMUHATZDL48L60XYXX</t>
  </si>
  <si>
    <t>6CMUHATZDL48L66XYXX</t>
  </si>
  <si>
    <t>6CMUHATZDL48L72XYXX</t>
  </si>
  <si>
    <t>6CMUHATZDL48L78XYXX</t>
  </si>
  <si>
    <t>6CMUHATZDL48L84XYXX</t>
  </si>
  <si>
    <t>6CMUHATZDL48L90XYXX</t>
  </si>
  <si>
    <t>6CMUHATZDL48L96XYXX</t>
  </si>
  <si>
    <t>6CMUHATZDL48102XYXX</t>
  </si>
  <si>
    <t>6CMUHATZDL48108XYXX</t>
  </si>
  <si>
    <t>6CMUHATZDL48114XYXX</t>
  </si>
  <si>
    <t>6CMUHATZDL48120XYXX</t>
  </si>
  <si>
    <t>6CMUHATZDL54L60XYXX</t>
  </si>
  <si>
    <t>6CMUHATZDL54L66XYXX</t>
  </si>
  <si>
    <t>6CMUHATZDL54L72XYXX</t>
  </si>
  <si>
    <t>6CMUHATZDL54L78XYXX</t>
  </si>
  <si>
    <t>6CMUHATZDL54L84XYXX</t>
  </si>
  <si>
    <t>6CMUHATZDL54L90XYXX</t>
  </si>
  <si>
    <t>6CMUHATZDL54L96XYXX</t>
  </si>
  <si>
    <t>6CMUHATZDL54102XYXX</t>
  </si>
  <si>
    <t>6CMUHATZDL54108XYXX</t>
  </si>
  <si>
    <t>6CMUHATZDL54114XYXX</t>
  </si>
  <si>
    <t>6CMUHATZDL54120XYXX</t>
  </si>
  <si>
    <t>6CMUHATZDL60L60XYXX</t>
  </si>
  <si>
    <t>6CMUHATZDL60L66XYXX</t>
  </si>
  <si>
    <t>6CMUHATZDL60L72XYXX</t>
  </si>
  <si>
    <t>6CMUHATZDL60L78XYXX</t>
  </si>
  <si>
    <t>6CMUHATZDL60L84XYXX</t>
  </si>
  <si>
    <t>6CMUHATZDL60L90XYXX</t>
  </si>
  <si>
    <t>6CMUHATZDL60L96XYXX</t>
  </si>
  <si>
    <t>6CMUHATZDL60102XYXX</t>
  </si>
  <si>
    <t>6CMUHATZDL60108XYXX</t>
  </si>
  <si>
    <t>6CMUHATZDL60114XYXX</t>
  </si>
  <si>
    <t>6CMUHATZDL60120XYXX</t>
  </si>
  <si>
    <t>6CMUHADSRL42L60XYXX</t>
  </si>
  <si>
    <t>6CMUHADSRL42L66XYXX</t>
  </si>
  <si>
    <t>6CMUHADSRL42L72XYXX</t>
  </si>
  <si>
    <t>6CMUHADSRL42L78XYXX</t>
  </si>
  <si>
    <t>6CMUHADSRL42L84XYXX</t>
  </si>
  <si>
    <t>6CMUHADSRL42L90XYXX</t>
  </si>
  <si>
    <t>6CMUHADSRL42L96XYXX</t>
  </si>
  <si>
    <t>6CMUHADSRL42102XYXX</t>
  </si>
  <si>
    <t>6CMUHADSRL42108XYXX</t>
  </si>
  <si>
    <t>6CMUHADSRL42114XYXX</t>
  </si>
  <si>
    <t>6CMUHADSRL42120XYXX</t>
  </si>
  <si>
    <t>6CMUHADSRL48L60XYXX</t>
  </si>
  <si>
    <t>6CMUHADSRL48L66XYXX</t>
  </si>
  <si>
    <t>6CMUHADSRL48L72XYXX</t>
  </si>
  <si>
    <t>6CMUHADSRL48L78XYXX</t>
  </si>
  <si>
    <t>6CMUHADSRL48L84XYXX</t>
  </si>
  <si>
    <t>6CMUHADSRL48L90XYXX</t>
  </si>
  <si>
    <t>6CMUHADSRL48L96XYXX</t>
  </si>
  <si>
    <t>6CMUHADSRL48102XYXX</t>
  </si>
  <si>
    <t>6CMUHADSRL48108XYXX</t>
  </si>
  <si>
    <t>6CMUHADSRL48114XYXX</t>
  </si>
  <si>
    <t>6CMUHADSRL48120XYXX</t>
  </si>
  <si>
    <t>6CMUHADSRL54L60XYXX</t>
  </si>
  <si>
    <t>6CMUHADSRL54L66XYXX</t>
  </si>
  <si>
    <t>6CMUHADSRL54L72XYXX</t>
  </si>
  <si>
    <t>6CMUHADSRL54L78XYXX</t>
  </si>
  <si>
    <t>6CMUHADSRL54L84XYXX</t>
  </si>
  <si>
    <t>6CMUHADSRL54L90XYXX</t>
  </si>
  <si>
    <t>6CMUHADSRL54L96XYXX</t>
  </si>
  <si>
    <t>6CMUHADSRL54102XYXX</t>
  </si>
  <si>
    <t>6CMUHADSRL54108XYXX</t>
  </si>
  <si>
    <t>6CMUHADSRL54114XYXX</t>
  </si>
  <si>
    <t>6CMUHADSRL54120XYXX</t>
  </si>
  <si>
    <t>6CMUHADSRL60L60XYXX</t>
  </si>
  <si>
    <t>6CMUHADSRL60L66XYXX</t>
  </si>
  <si>
    <t>6CMUHADSRL60L72XYXX</t>
  </si>
  <si>
    <t>6CMUHADSRL60L78XYXX</t>
  </si>
  <si>
    <t>6CMUHADSRL60L84XYXX</t>
  </si>
  <si>
    <t>6CMUHADSRL60L90XYXX</t>
  </si>
  <si>
    <t>6CMUHADSRL60L96XYXX</t>
  </si>
  <si>
    <t>6CMUHADSRL60102XYXX</t>
  </si>
  <si>
    <t>6CMUHADSRL60108XYXX</t>
  </si>
  <si>
    <t>6CMUHADSRL60114XYXX</t>
  </si>
  <si>
    <t>6CMUHADSRL60120XYXX</t>
  </si>
  <si>
    <t>6CMUHADSDL42L60XYXX</t>
  </si>
  <si>
    <t>6CMUHADSDL42L66XYXX</t>
  </si>
  <si>
    <t>6CMUHADSDL42L72XYXX</t>
  </si>
  <si>
    <t>6CMUHADSDL42L78XYXX</t>
  </si>
  <si>
    <t>6CMUHADSDL42L84XYXX</t>
  </si>
  <si>
    <t>6CMUHADSDL42L90XYXX</t>
  </si>
  <si>
    <t>6CMUHADSDL42L96XYXX</t>
  </si>
  <si>
    <t>6CMUHADSDL42102XYXX</t>
  </si>
  <si>
    <t>6CMUHADSDL42108XYXX</t>
  </si>
  <si>
    <t>6CMUHADSDL42114XYXX</t>
  </si>
  <si>
    <t>6CMUHADSDL42120XYXX</t>
  </si>
  <si>
    <t>6CMUHADSDL48L60XYXX</t>
  </si>
  <si>
    <t>6CMUHADSDL48L66XYXX</t>
  </si>
  <si>
    <t>6CMUHADSDL48L72XYXX</t>
  </si>
  <si>
    <t>6CMUHADSDL48L78XYXX</t>
  </si>
  <si>
    <t>6CMUHADSDL48L84XYXX</t>
  </si>
  <si>
    <t>6CMUHADSDL48L90XYXX</t>
  </si>
  <si>
    <t>6CMUHADSDL48L96XYXX</t>
  </si>
  <si>
    <t>6CMUHADSDL48102XYXX</t>
  </si>
  <si>
    <t>6CMUHADSDL48108XYXX</t>
  </si>
  <si>
    <t>6CMUHADSDL48114XYXX</t>
  </si>
  <si>
    <t>6CMUHADSDL48120XYXX</t>
  </si>
  <si>
    <t>6CMUHADSDL54L60XYXX</t>
  </si>
  <si>
    <t>6CMUHADSDL54L66XYXX</t>
  </si>
  <si>
    <t>6CMUHADSDL54L72XYXX</t>
  </si>
  <si>
    <t>6CMUHADSDL54L78XYXX</t>
  </si>
  <si>
    <t>6CMUHADSDL54L84XYXX</t>
  </si>
  <si>
    <t>6CMUHADSDL54L90XYXX</t>
  </si>
  <si>
    <t>6CMUHADSDL54L96XYXX</t>
  </si>
  <si>
    <t>6CMUHADSDL54102XYXX</t>
  </si>
  <si>
    <t>6CMUHADSDL54108XYXX</t>
  </si>
  <si>
    <t>6CMUHADSDL54114XYXX</t>
  </si>
  <si>
    <t>6CMUHADSDL54120XYXX</t>
  </si>
  <si>
    <t>6CMUHADSDL60L60XYXX</t>
  </si>
  <si>
    <t>6CMUHADSDL60L66XYXX</t>
  </si>
  <si>
    <t>6CMUHADSDL60L72XYXX</t>
  </si>
  <si>
    <t>6CMUHADSDL60L78XYXX</t>
  </si>
  <si>
    <t>6CMUHADSDL60L84XYXX</t>
  </si>
  <si>
    <t>6CMUHADSDL60L90XYXX</t>
  </si>
  <si>
    <t>6CMUHADSDL60L96XYXX</t>
  </si>
  <si>
    <t>6CMUHADSDL60102XYXX</t>
  </si>
  <si>
    <t>6CMUHADSDL60108XYXX</t>
  </si>
  <si>
    <t>6CMUHADSDL60114XYXX</t>
  </si>
  <si>
    <t>6CMUHADSDL60120XYXX</t>
  </si>
  <si>
    <t>Multi Media Table, Rectangular, Height Adjustable, Single Monitor Mount, Laminate, Power and Data</t>
  </si>
  <si>
    <t>Multi Media Table, Rectangular, Height Adjustable, Double Monitor Mount, Laminate, Power and Data</t>
  </si>
  <si>
    <t>Multi Media Table, Trapezoid, Height Adjustable, Single Monitor Mount, Laminate, Power and Data</t>
  </si>
  <si>
    <t>Multi Media Table, Trapezoid, Height Adjustable, Double Monitor Mount, Laminate, Power and Data</t>
  </si>
  <si>
    <t>Multi Media Table, D-Shape, Height Adjustable, Single Monitor Mount, Laminate, Power and Data</t>
  </si>
  <si>
    <t>Multi Media Table, D-Shape, Height Adjustable, Double Monitor Mount, Laminate, Power and Data</t>
  </si>
  <si>
    <t>D-SHAPE (BULLET) HEIGHT ADJUSTABLE</t>
  </si>
  <si>
    <t>TRAPEZOID HEIGHT ADJUSATBLE</t>
  </si>
  <si>
    <t>RECTANGULAR HEIGHT ADJUSTABLE</t>
  </si>
  <si>
    <t>D-SHAPE (BULLET) BAR HEIGHT</t>
  </si>
  <si>
    <t>TRAPEZOID BAR HEIGHT</t>
  </si>
  <si>
    <t>RECTANGULAR BAR HEIGHT</t>
  </si>
  <si>
    <t>Krug Standard Laminate w/PVC Edge, Height Adjustable T-legs range 26-45", Nuvo Style Media Wall, 76Powerport4</t>
  </si>
  <si>
    <t>Krug Standard Laminate w/PVC Edge, 3xDuracast TT Bases, Wire Mgmt in 1 TT Base, Nuvo Style Media Wall, 76Powerport4</t>
  </si>
  <si>
    <t>Krug Standard Laminate w/PVC Edge, 2xDuracast TT Bases, Wire Mgmt in 1 TT Base, Nuvo Style Media Wall, 76Powerport4</t>
  </si>
  <si>
    <t>Krug Inc.-SP7261424229</t>
  </si>
  <si>
    <t>Krug Inc.-SP7261484829</t>
  </si>
  <si>
    <t>HP Laminate Top / PVC Edge, With Duracast Square Base</t>
  </si>
  <si>
    <t>HP Laminate Top / PVC Edge,  With Duracast Square Base</t>
  </si>
  <si>
    <t>Krug Inc.-SP7261423029RQ</t>
  </si>
  <si>
    <t>HP Laminate Top / PVC Edge, With Duracast Rectangular Base</t>
  </si>
  <si>
    <t>Krug Inc.-SP61THSQ54548LP</t>
  </si>
  <si>
    <t>Laminate Top/ PVC Edge/ 6 Metal legs</t>
  </si>
  <si>
    <t>Krug Inc.-SP61THSQ60608LP</t>
  </si>
  <si>
    <t xml:space="preserve">Laminate Top/ PVC Edge/ 6 Metal Legs </t>
  </si>
  <si>
    <t>ZOP3-M2F0F (2) + ZOP3-IWF048MP + ZOP3-ICWF0L + ZOP3-ICWF0R + ZOP3-RO48532416+ZOP3-MSPF0S+ZOP3-MSPF0E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</si>
</sst>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&quot;$&quot;#,##0.00"/>
    <numFmt numFmtId="166" formatCode="_-&quot;$&quot;* #,##0_-;\-&quot;$&quot;* #,##0_-;_-&quot;$&quot;* &quot;-&quot;??_-;_-@_-"/>
    <numFmt numFmtId="167" formatCode="&quot;$&quot;#,##0"/>
    <numFmt numFmtId="168" formatCode="_(&quot;$&quot;* #,##0_);_(&quot;$&quot;* \(#,##0\);_(&quot;$&quot;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ourier New"/>
      <family val="3"/>
    </font>
    <font>
      <sz val="1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6">
    <xf numFmtId="0" fontId="0" fillId="0" borderId="0" xfId="0"/>
    <xf numFmtId="0" fontId="0" fillId="2" borderId="1" xfId="0" applyFill="1" applyBorder="1"/>
    <xf numFmtId="0" fontId="5" fillId="2" borderId="1" xfId="0" applyFont="1" applyFill="1" applyBorder="1" applyAlignment="1" applyProtection="1">
      <alignment horizontal="left"/>
      <protection locked="0"/>
    </xf>
    <xf numFmtId="0" fontId="0" fillId="0" borderId="1" xfId="0" applyBorder="1" applyAlignment="1">
      <alignment horizontal="center"/>
    </xf>
    <xf numFmtId="0" fontId="2" fillId="0" borderId="0" xfId="0" applyFont="1"/>
    <xf numFmtId="0" fontId="0" fillId="0" borderId="0" xfId="0" applyAlignment="1">
      <alignment vertical="center"/>
    </xf>
    <xf numFmtId="0" fontId="4" fillId="0" borderId="1" xfId="0" applyFont="1" applyBorder="1" applyAlignment="1">
      <alignment horizontal="left"/>
    </xf>
    <xf numFmtId="0" fontId="0" fillId="0" borderId="1" xfId="0" applyBorder="1"/>
    <xf numFmtId="0" fontId="0" fillId="2" borderId="1" xfId="0" applyFill="1" applyBorder="1" applyProtection="1">
      <protection locked="0"/>
    </xf>
    <xf numFmtId="0" fontId="5" fillId="2" borderId="1" xfId="0" applyFont="1" applyFill="1" applyBorder="1"/>
    <xf numFmtId="0" fontId="0" fillId="2" borderId="1" xfId="0" applyFill="1" applyBorder="1" applyAlignment="1" applyProtection="1">
      <alignment horizontal="left"/>
      <protection locked="0"/>
    </xf>
    <xf numFmtId="165" fontId="0" fillId="2" borderId="1" xfId="0" applyNumberFormat="1" applyFill="1" applyBorder="1"/>
    <xf numFmtId="0" fontId="2" fillId="0" borderId="1" xfId="0" applyFont="1" applyBorder="1" applyAlignment="1" applyProtection="1">
      <alignment vertical="center"/>
      <protection hidden="1"/>
    </xf>
    <xf numFmtId="0" fontId="2" fillId="2" borderId="1" xfId="0" applyFont="1" applyFill="1" applyBorder="1" applyAlignment="1" applyProtection="1">
      <alignment vertical="center"/>
      <protection hidden="1"/>
    </xf>
    <xf numFmtId="0" fontId="4" fillId="0" borderId="1" xfId="0" applyFont="1" applyBorder="1" applyAlignment="1" applyProtection="1">
      <alignment horizontal="left"/>
      <protection hidden="1"/>
    </xf>
    <xf numFmtId="0" fontId="0" fillId="0" borderId="1" xfId="0" applyBorder="1" applyProtection="1">
      <protection hidden="1"/>
    </xf>
    <xf numFmtId="0" fontId="5" fillId="2" borderId="1" xfId="0" applyFont="1" applyFill="1" applyBorder="1" applyAlignment="1" applyProtection="1">
      <alignment horizontal="left"/>
      <protection hidden="1"/>
    </xf>
    <xf numFmtId="165" fontId="0" fillId="0" borderId="1" xfId="0" applyNumberFormat="1" applyBorder="1" applyProtection="1">
      <protection hidden="1"/>
    </xf>
    <xf numFmtId="165" fontId="0" fillId="0" borderId="1" xfId="4" applyNumberFormat="1" applyFont="1" applyBorder="1" applyProtection="1">
      <protection hidden="1"/>
    </xf>
    <xf numFmtId="165" fontId="0" fillId="2" borderId="1" xfId="4" applyNumberFormat="1" applyFont="1" applyFill="1" applyBorder="1" applyProtection="1">
      <protection hidden="1"/>
    </xf>
    <xf numFmtId="165" fontId="0" fillId="2" borderId="1" xfId="0" applyNumberFormat="1" applyFill="1" applyBorder="1" applyProtection="1">
      <protection hidden="1"/>
    </xf>
    <xf numFmtId="0" fontId="0" fillId="2" borderId="1" xfId="0" applyFill="1" applyBorder="1" applyProtection="1">
      <protection hidden="1"/>
    </xf>
    <xf numFmtId="165" fontId="1" fillId="2" borderId="1" xfId="4" applyNumberFormat="1" applyFont="1" applyFill="1" applyBorder="1" applyProtection="1">
      <protection hidden="1"/>
    </xf>
    <xf numFmtId="165" fontId="1" fillId="2" borderId="1" xfId="4" applyNumberFormat="1" applyFont="1" applyFill="1" applyBorder="1" applyProtection="1">
      <protection locked="0"/>
    </xf>
    <xf numFmtId="165" fontId="5" fillId="2" borderId="1" xfId="0" applyNumberFormat="1" applyFont="1" applyFill="1" applyBorder="1"/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5" fillId="2" borderId="3" xfId="0" applyFont="1" applyFill="1" applyBorder="1" applyAlignment="1" applyProtection="1">
      <alignment horizontal="left"/>
      <protection locked="0"/>
    </xf>
    <xf numFmtId="0" fontId="4" fillId="0" borderId="4" xfId="0" applyFont="1" applyBorder="1" applyAlignment="1">
      <alignment horizontal="left"/>
    </xf>
    <xf numFmtId="0" fontId="5" fillId="2" borderId="2" xfId="0" applyFont="1" applyFill="1" applyBorder="1" applyAlignment="1" applyProtection="1">
      <alignment horizontal="left"/>
      <protection locked="0"/>
    </xf>
    <xf numFmtId="0" fontId="2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" xfId="0" applyFont="1" applyBorder="1" applyAlignment="1" applyProtection="1">
      <alignment vertical="center" wrapText="1"/>
      <protection hidden="1"/>
    </xf>
    <xf numFmtId="165" fontId="0" fillId="0" borderId="1" xfId="0" applyNumberFormat="1" applyBorder="1"/>
    <xf numFmtId="0" fontId="4" fillId="2" borderId="1" xfId="0" applyFont="1" applyFill="1" applyBorder="1" applyAlignment="1">
      <alignment horizontal="left"/>
    </xf>
    <xf numFmtId="0" fontId="6" fillId="2" borderId="1" xfId="0" applyFont="1" applyFill="1" applyBorder="1" applyProtection="1">
      <protection locked="0"/>
    </xf>
    <xf numFmtId="0" fontId="6" fillId="2" borderId="1" xfId="0" applyFont="1" applyFill="1" applyBorder="1" applyAlignment="1" applyProtection="1">
      <alignment horizontal="left"/>
      <protection locked="0"/>
    </xf>
    <xf numFmtId="165" fontId="1" fillId="0" borderId="1" xfId="4" applyNumberForma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0" borderId="10" xfId="0" applyFon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164" fontId="0" fillId="0" borderId="10" xfId="4" applyFont="1" applyBorder="1"/>
    <xf numFmtId="164" fontId="0" fillId="0" borderId="11" xfId="4" applyFont="1" applyBorder="1"/>
    <xf numFmtId="164" fontId="0" fillId="0" borderId="12" xfId="4" applyFont="1" applyBorder="1"/>
    <xf numFmtId="0" fontId="0" fillId="0" borderId="13" xfId="0" applyBorder="1"/>
    <xf numFmtId="0" fontId="0" fillId="2" borderId="0" xfId="0" applyFill="1" applyProtection="1">
      <protection locked="0"/>
    </xf>
    <xf numFmtId="0" fontId="4" fillId="0" borderId="1" xfId="0" applyFont="1" applyBorder="1"/>
    <xf numFmtId="165" fontId="0" fillId="0" borderId="0" xfId="0" applyNumberFormat="1"/>
    <xf numFmtId="164" fontId="0" fillId="0" borderId="0" xfId="4" applyFont="1"/>
    <xf numFmtId="164" fontId="0" fillId="0" borderId="0" xfId="0" applyNumberFormat="1"/>
    <xf numFmtId="0" fontId="2" fillId="0" borderId="1" xfId="0" applyFont="1" applyBorder="1"/>
    <xf numFmtId="164" fontId="0" fillId="0" borderId="1" xfId="4" applyFont="1" applyBorder="1"/>
    <xf numFmtId="0" fontId="0" fillId="0" borderId="0" xfId="0" applyAlignment="1">
      <alignment horizontal="right"/>
    </xf>
    <xf numFmtId="0" fontId="0" fillId="3" borderId="0" xfId="0" applyFill="1" applyAlignment="1">
      <alignment vertical="center"/>
    </xf>
    <xf numFmtId="0" fontId="2" fillId="3" borderId="0" xfId="0" applyFont="1" applyFill="1"/>
    <xf numFmtId="0" fontId="0" fillId="3" borderId="0" xfId="0" applyFill="1"/>
    <xf numFmtId="0" fontId="0" fillId="3" borderId="1" xfId="0" applyFill="1" applyBorder="1"/>
    <xf numFmtId="0" fontId="5" fillId="3" borderId="1" xfId="0" applyFont="1" applyFill="1" applyBorder="1" applyAlignment="1" applyProtection="1">
      <alignment horizontal="left"/>
      <protection locked="0"/>
    </xf>
    <xf numFmtId="165" fontId="0" fillId="3" borderId="1" xfId="0" applyNumberFormat="1" applyFill="1" applyBorder="1"/>
    <xf numFmtId="0" fontId="0" fillId="3" borderId="1" xfId="0" applyFill="1" applyBorder="1" applyAlignment="1" applyProtection="1">
      <alignment horizontal="left"/>
      <protection locked="0"/>
    </xf>
    <xf numFmtId="0" fontId="2" fillId="3" borderId="1" xfId="0" applyFont="1" applyFill="1" applyBorder="1" applyAlignment="1" applyProtection="1">
      <alignment horizontal="left"/>
      <protection hidden="1"/>
    </xf>
    <xf numFmtId="0" fontId="0" fillId="3" borderId="1" xfId="0" applyFill="1" applyBorder="1" applyProtection="1">
      <protection hidden="1"/>
    </xf>
    <xf numFmtId="0" fontId="5" fillId="3" borderId="1" xfId="0" applyFont="1" applyFill="1" applyBorder="1" applyAlignment="1" applyProtection="1">
      <alignment horizontal="left"/>
      <protection hidden="1"/>
    </xf>
    <xf numFmtId="165" fontId="0" fillId="3" borderId="1" xfId="0" applyNumberFormat="1" applyFill="1" applyBorder="1" applyProtection="1">
      <protection hidden="1"/>
    </xf>
    <xf numFmtId="0" fontId="2" fillId="3" borderId="1" xfId="0" applyFont="1" applyFill="1" applyBorder="1" applyAlignment="1" applyProtection="1">
      <alignment vertical="center"/>
      <protection hidden="1"/>
    </xf>
    <xf numFmtId="0" fontId="2" fillId="3" borderId="1" xfId="0" applyFont="1" applyFill="1" applyBorder="1" applyAlignment="1" applyProtection="1">
      <alignment vertical="center" wrapText="1"/>
      <protection hidden="1"/>
    </xf>
    <xf numFmtId="165" fontId="0" fillId="3" borderId="1" xfId="4" applyNumberFormat="1" applyFont="1" applyFill="1" applyBorder="1" applyProtection="1">
      <protection hidden="1"/>
    </xf>
    <xf numFmtId="165" fontId="1" fillId="3" borderId="1" xfId="4" applyNumberFormat="1" applyFont="1" applyFill="1" applyBorder="1" applyProtection="1">
      <protection hidden="1"/>
    </xf>
    <xf numFmtId="0" fontId="2" fillId="3" borderId="1" xfId="0" applyFont="1" applyFill="1" applyBorder="1" applyAlignment="1">
      <alignment horizontal="left"/>
    </xf>
    <xf numFmtId="0" fontId="0" fillId="0" borderId="0" xfId="0" applyAlignment="1">
      <alignment horizontal="left" vertical="top"/>
    </xf>
    <xf numFmtId="0" fontId="2" fillId="3" borderId="2" xfId="0" applyFont="1" applyFill="1" applyBorder="1" applyAlignment="1">
      <alignment horizontal="left"/>
    </xf>
    <xf numFmtId="0" fontId="5" fillId="3" borderId="1" xfId="0" applyFont="1" applyFill="1" applyBorder="1"/>
    <xf numFmtId="165" fontId="5" fillId="3" borderId="1" xfId="0" applyNumberFormat="1" applyFont="1" applyFill="1" applyBorder="1"/>
    <xf numFmtId="0" fontId="2" fillId="3" borderId="13" xfId="0" applyFont="1" applyFill="1" applyBorder="1" applyAlignment="1">
      <alignment horizontal="left"/>
    </xf>
    <xf numFmtId="0" fontId="2" fillId="3" borderId="1" xfId="0" applyFont="1" applyFill="1" applyBorder="1"/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/>
    </xf>
    <xf numFmtId="0" fontId="0" fillId="3" borderId="1" xfId="0" applyFill="1" applyBorder="1" applyProtection="1">
      <protection locked="0"/>
    </xf>
    <xf numFmtId="0" fontId="6" fillId="3" borderId="1" xfId="0" applyFont="1" applyFill="1" applyBorder="1" applyAlignment="1" applyProtection="1">
      <alignment horizontal="left"/>
      <protection locked="0"/>
    </xf>
    <xf numFmtId="0" fontId="0" fillId="0" borderId="1" xfId="0" applyBorder="1" applyAlignment="1">
      <alignment wrapText="1"/>
    </xf>
    <xf numFmtId="0" fontId="0" fillId="3" borderId="1" xfId="0" applyFill="1" applyBorder="1" applyAlignment="1">
      <alignment wrapText="1"/>
    </xf>
    <xf numFmtId="164" fontId="0" fillId="3" borderId="1" xfId="4" applyFont="1" applyFill="1" applyBorder="1"/>
    <xf numFmtId="0" fontId="7" fillId="2" borderId="1" xfId="0" applyFont="1" applyFill="1" applyBorder="1" applyAlignment="1" applyProtection="1">
      <alignment vertical="center"/>
      <protection hidden="1"/>
    </xf>
    <xf numFmtId="0" fontId="7" fillId="3" borderId="1" xfId="0" applyFont="1" applyFill="1" applyBorder="1" applyAlignment="1" applyProtection="1">
      <alignment vertical="center"/>
      <protection hidden="1"/>
    </xf>
    <xf numFmtId="0" fontId="5" fillId="2" borderId="1" xfId="0" applyFont="1" applyFill="1" applyBorder="1" applyProtection="1">
      <protection locked="0"/>
    </xf>
    <xf numFmtId="0" fontId="5" fillId="0" borderId="1" xfId="0" applyFont="1" applyBorder="1"/>
    <xf numFmtId="0" fontId="5" fillId="0" borderId="0" xfId="0" applyFont="1"/>
    <xf numFmtId="0" fontId="0" fillId="0" borderId="0" xfId="0" applyAlignment="1">
      <alignment horizontal="left"/>
    </xf>
    <xf numFmtId="0" fontId="2" fillId="0" borderId="1" xfId="0" applyFont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left" vertical="center"/>
    </xf>
    <xf numFmtId="164" fontId="0" fillId="0" borderId="7" xfId="4" applyFont="1" applyBorder="1"/>
    <xf numFmtId="164" fontId="0" fillId="0" borderId="8" xfId="4" applyFont="1" applyBorder="1"/>
    <xf numFmtId="164" fontId="0" fillId="0" borderId="9" xfId="4" applyFont="1" applyBorder="1"/>
    <xf numFmtId="166" fontId="0" fillId="0" borderId="1" xfId="4" applyNumberFormat="1" applyFont="1" applyBorder="1"/>
    <xf numFmtId="166" fontId="0" fillId="3" borderId="1" xfId="4" applyNumberFormat="1" applyFont="1" applyFill="1" applyBorder="1"/>
    <xf numFmtId="166" fontId="0" fillId="0" borderId="7" xfId="4" applyNumberFormat="1" applyFont="1" applyBorder="1"/>
    <xf numFmtId="166" fontId="0" fillId="0" borderId="8" xfId="4" applyNumberFormat="1" applyFont="1" applyBorder="1"/>
    <xf numFmtId="166" fontId="0" fillId="0" borderId="9" xfId="4" applyNumberFormat="1" applyFont="1" applyBorder="1"/>
    <xf numFmtId="167" fontId="0" fillId="2" borderId="1" xfId="0" applyNumberFormat="1" applyFill="1" applyBorder="1"/>
    <xf numFmtId="167" fontId="0" fillId="3" borderId="1" xfId="0" applyNumberFormat="1" applyFill="1" applyBorder="1"/>
    <xf numFmtId="167" fontId="0" fillId="0" borderId="1" xfId="0" applyNumberFormat="1" applyBorder="1"/>
    <xf numFmtId="167" fontId="0" fillId="0" borderId="0" xfId="0" applyNumberFormat="1"/>
    <xf numFmtId="0" fontId="8" fillId="0" borderId="0" xfId="0" applyFont="1"/>
    <xf numFmtId="167" fontId="0" fillId="0" borderId="1" xfId="0" applyNumberFormat="1" applyBorder="1" applyProtection="1">
      <protection hidden="1"/>
    </xf>
    <xf numFmtId="167" fontId="0" fillId="3" borderId="1" xfId="0" applyNumberFormat="1" applyFill="1" applyBorder="1" applyProtection="1">
      <protection hidden="1"/>
    </xf>
    <xf numFmtId="0" fontId="0" fillId="3" borderId="0" xfId="0" applyFill="1" applyAlignment="1">
      <alignment horizontal="left"/>
    </xf>
    <xf numFmtId="0" fontId="0" fillId="3" borderId="0" xfId="0" applyFill="1" applyProtection="1">
      <protection hidden="1"/>
    </xf>
    <xf numFmtId="0" fontId="5" fillId="3" borderId="0" xfId="0" applyFont="1" applyFill="1" applyAlignment="1" applyProtection="1">
      <alignment horizontal="left"/>
      <protection locked="0"/>
    </xf>
    <xf numFmtId="165" fontId="0" fillId="3" borderId="0" xfId="0" applyNumberFormat="1" applyFill="1"/>
    <xf numFmtId="165" fontId="0" fillId="3" borderId="0" xfId="0" applyNumberFormat="1" applyFill="1" applyProtection="1">
      <protection hidden="1"/>
    </xf>
    <xf numFmtId="167" fontId="0" fillId="3" borderId="0" xfId="0" applyNumberFormat="1" applyFill="1" applyProtection="1">
      <protection hidden="1"/>
    </xf>
    <xf numFmtId="44" fontId="0" fillId="0" borderId="1" xfId="0" applyNumberFormat="1" applyBorder="1"/>
    <xf numFmtId="0" fontId="0" fillId="3" borderId="1" xfId="0" applyFill="1" applyBorder="1" applyAlignment="1">
      <alignment horizontal="left"/>
    </xf>
    <xf numFmtId="164" fontId="0" fillId="3" borderId="1" xfId="4" applyFont="1" applyFill="1" applyBorder="1" applyProtection="1">
      <protection hidden="1"/>
    </xf>
    <xf numFmtId="168" fontId="0" fillId="0" borderId="1" xfId="0" applyNumberFormat="1" applyBorder="1"/>
    <xf numFmtId="166" fontId="0" fillId="0" borderId="1" xfId="0" applyNumberFormat="1" applyBorder="1"/>
    <xf numFmtId="0" fontId="0" fillId="0" borderId="3" xfId="0" applyBorder="1"/>
    <xf numFmtId="44" fontId="0" fillId="3" borderId="1" xfId="0" applyNumberFormat="1" applyFill="1" applyBorder="1"/>
    <xf numFmtId="0" fontId="7" fillId="3" borderId="0" xfId="0" applyFont="1" applyFill="1" applyAlignment="1" applyProtection="1">
      <alignment horizontal="left"/>
      <protection locked="0"/>
    </xf>
    <xf numFmtId="165" fontId="2" fillId="3" borderId="0" xfId="0" applyNumberFormat="1" applyFont="1" applyFill="1"/>
    <xf numFmtId="167" fontId="2" fillId="3" borderId="0" xfId="0" applyNumberFormat="1" applyFont="1" applyFill="1"/>
    <xf numFmtId="0" fontId="9" fillId="3" borderId="0" xfId="0" applyFont="1" applyFill="1" applyAlignment="1">
      <alignment horizontal="left"/>
    </xf>
    <xf numFmtId="167" fontId="0" fillId="0" borderId="1" xfId="4" applyNumberFormat="1" applyFont="1" applyBorder="1"/>
    <xf numFmtId="0" fontId="0" fillId="0" borderId="14" xfId="0" applyBorder="1"/>
    <xf numFmtId="0" fontId="9" fillId="3" borderId="1" xfId="0" applyFont="1" applyFill="1" applyBorder="1"/>
    <xf numFmtId="0" fontId="0" fillId="3" borderId="14" xfId="0" applyFill="1" applyBorder="1"/>
    <xf numFmtId="167" fontId="0" fillId="3" borderId="1" xfId="4" applyNumberFormat="1" applyFont="1" applyFill="1" applyBorder="1"/>
  </cellXfs>
  <cellStyles count="5">
    <cellStyle name="Currency" xfId="4" builtinId="4"/>
    <cellStyle name="Currency 2" xfId="2" xr:uid="{00000000-0005-0000-0000-000001000000}"/>
    <cellStyle name="Currency 3" xfId="3" xr:uid="{00000000-0005-0000-0000-000002000000}"/>
    <cellStyle name="Normal" xfId="0" builtinId="0"/>
    <cellStyle name="Normal 2" xfId="1" xr:uid="{00000000-0005-0000-0000-000004000000}"/>
  </cellStyles>
  <dxfs count="0"/>
  <tableStyles count="1" defaultTableStyle="TableStyleMedium2" defaultPivotStyle="PivotStyleLight16">
    <tableStyle name="Table Style 1" pivot="0" count="0" xr9:uid="{00000000-0011-0000-FFFF-FFFF00000000}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3.png"/><Relationship Id="rId18" Type="http://schemas.openxmlformats.org/officeDocument/2006/relationships/image" Target="../media/image88.png"/><Relationship Id="rId26" Type="http://schemas.openxmlformats.org/officeDocument/2006/relationships/image" Target="../media/image96.png"/><Relationship Id="rId39" Type="http://schemas.openxmlformats.org/officeDocument/2006/relationships/image" Target="../media/image109.png"/><Relationship Id="rId21" Type="http://schemas.openxmlformats.org/officeDocument/2006/relationships/image" Target="../media/image91.png"/><Relationship Id="rId34" Type="http://schemas.openxmlformats.org/officeDocument/2006/relationships/image" Target="../media/image104.png"/><Relationship Id="rId42" Type="http://schemas.openxmlformats.org/officeDocument/2006/relationships/image" Target="../media/image112.png"/><Relationship Id="rId47" Type="http://schemas.openxmlformats.org/officeDocument/2006/relationships/image" Target="../media/image117.png"/><Relationship Id="rId50" Type="http://schemas.openxmlformats.org/officeDocument/2006/relationships/image" Target="../media/image120.png"/><Relationship Id="rId55" Type="http://schemas.openxmlformats.org/officeDocument/2006/relationships/image" Target="../media/image125.png"/><Relationship Id="rId63" Type="http://schemas.openxmlformats.org/officeDocument/2006/relationships/image" Target="../media/image133.png"/><Relationship Id="rId68" Type="http://schemas.openxmlformats.org/officeDocument/2006/relationships/image" Target="../media/image138.png"/><Relationship Id="rId7" Type="http://schemas.openxmlformats.org/officeDocument/2006/relationships/image" Target="../media/image77.png"/><Relationship Id="rId71" Type="http://schemas.openxmlformats.org/officeDocument/2006/relationships/image" Target="../media/image141.png"/><Relationship Id="rId2" Type="http://schemas.openxmlformats.org/officeDocument/2006/relationships/image" Target="../media/image72.png"/><Relationship Id="rId16" Type="http://schemas.openxmlformats.org/officeDocument/2006/relationships/image" Target="../media/image86.png"/><Relationship Id="rId29" Type="http://schemas.openxmlformats.org/officeDocument/2006/relationships/image" Target="../media/image99.png"/><Relationship Id="rId11" Type="http://schemas.openxmlformats.org/officeDocument/2006/relationships/image" Target="../media/image81.png"/><Relationship Id="rId24" Type="http://schemas.openxmlformats.org/officeDocument/2006/relationships/image" Target="../media/image94.png"/><Relationship Id="rId32" Type="http://schemas.openxmlformats.org/officeDocument/2006/relationships/image" Target="../media/image102.png"/><Relationship Id="rId37" Type="http://schemas.openxmlformats.org/officeDocument/2006/relationships/image" Target="../media/image107.png"/><Relationship Id="rId40" Type="http://schemas.openxmlformats.org/officeDocument/2006/relationships/image" Target="../media/image110.png"/><Relationship Id="rId45" Type="http://schemas.openxmlformats.org/officeDocument/2006/relationships/image" Target="../media/image115.png"/><Relationship Id="rId53" Type="http://schemas.openxmlformats.org/officeDocument/2006/relationships/image" Target="../media/image123.png"/><Relationship Id="rId58" Type="http://schemas.openxmlformats.org/officeDocument/2006/relationships/image" Target="../media/image128.png"/><Relationship Id="rId66" Type="http://schemas.openxmlformats.org/officeDocument/2006/relationships/image" Target="../media/image136.png"/><Relationship Id="rId74" Type="http://schemas.openxmlformats.org/officeDocument/2006/relationships/image" Target="../media/image144.png"/><Relationship Id="rId5" Type="http://schemas.openxmlformats.org/officeDocument/2006/relationships/image" Target="../media/image75.png"/><Relationship Id="rId15" Type="http://schemas.openxmlformats.org/officeDocument/2006/relationships/image" Target="../media/image85.png"/><Relationship Id="rId23" Type="http://schemas.openxmlformats.org/officeDocument/2006/relationships/image" Target="../media/image93.png"/><Relationship Id="rId28" Type="http://schemas.openxmlformats.org/officeDocument/2006/relationships/image" Target="../media/image98.png"/><Relationship Id="rId36" Type="http://schemas.openxmlformats.org/officeDocument/2006/relationships/image" Target="../media/image106.png"/><Relationship Id="rId49" Type="http://schemas.openxmlformats.org/officeDocument/2006/relationships/image" Target="../media/image119.png"/><Relationship Id="rId57" Type="http://schemas.openxmlformats.org/officeDocument/2006/relationships/image" Target="../media/image127.png"/><Relationship Id="rId61" Type="http://schemas.openxmlformats.org/officeDocument/2006/relationships/image" Target="../media/image131.png"/><Relationship Id="rId10" Type="http://schemas.openxmlformats.org/officeDocument/2006/relationships/image" Target="../media/image80.png"/><Relationship Id="rId19" Type="http://schemas.openxmlformats.org/officeDocument/2006/relationships/image" Target="../media/image89.png"/><Relationship Id="rId31" Type="http://schemas.openxmlformats.org/officeDocument/2006/relationships/image" Target="../media/image101.png"/><Relationship Id="rId44" Type="http://schemas.openxmlformats.org/officeDocument/2006/relationships/image" Target="../media/image114.png"/><Relationship Id="rId52" Type="http://schemas.openxmlformats.org/officeDocument/2006/relationships/image" Target="../media/image122.png"/><Relationship Id="rId60" Type="http://schemas.openxmlformats.org/officeDocument/2006/relationships/image" Target="../media/image130.png"/><Relationship Id="rId65" Type="http://schemas.openxmlformats.org/officeDocument/2006/relationships/image" Target="../media/image135.png"/><Relationship Id="rId73" Type="http://schemas.openxmlformats.org/officeDocument/2006/relationships/image" Target="../media/image143.png"/><Relationship Id="rId4" Type="http://schemas.openxmlformats.org/officeDocument/2006/relationships/image" Target="../media/image74.png"/><Relationship Id="rId9" Type="http://schemas.openxmlformats.org/officeDocument/2006/relationships/image" Target="../media/image79.png"/><Relationship Id="rId14" Type="http://schemas.openxmlformats.org/officeDocument/2006/relationships/image" Target="../media/image84.png"/><Relationship Id="rId22" Type="http://schemas.openxmlformats.org/officeDocument/2006/relationships/image" Target="../media/image92.png"/><Relationship Id="rId27" Type="http://schemas.openxmlformats.org/officeDocument/2006/relationships/image" Target="../media/image97.png"/><Relationship Id="rId30" Type="http://schemas.openxmlformats.org/officeDocument/2006/relationships/image" Target="../media/image100.png"/><Relationship Id="rId35" Type="http://schemas.openxmlformats.org/officeDocument/2006/relationships/image" Target="../media/image105.png"/><Relationship Id="rId43" Type="http://schemas.openxmlformats.org/officeDocument/2006/relationships/image" Target="../media/image113.png"/><Relationship Id="rId48" Type="http://schemas.openxmlformats.org/officeDocument/2006/relationships/image" Target="../media/image118.png"/><Relationship Id="rId56" Type="http://schemas.openxmlformats.org/officeDocument/2006/relationships/image" Target="../media/image126.png"/><Relationship Id="rId64" Type="http://schemas.openxmlformats.org/officeDocument/2006/relationships/image" Target="../media/image134.png"/><Relationship Id="rId69" Type="http://schemas.openxmlformats.org/officeDocument/2006/relationships/image" Target="../media/image139.png"/><Relationship Id="rId8" Type="http://schemas.openxmlformats.org/officeDocument/2006/relationships/image" Target="../media/image78.png"/><Relationship Id="rId51" Type="http://schemas.openxmlformats.org/officeDocument/2006/relationships/image" Target="../media/image121.png"/><Relationship Id="rId72" Type="http://schemas.openxmlformats.org/officeDocument/2006/relationships/image" Target="../media/image142.png"/><Relationship Id="rId3" Type="http://schemas.openxmlformats.org/officeDocument/2006/relationships/image" Target="../media/image73.png"/><Relationship Id="rId12" Type="http://schemas.openxmlformats.org/officeDocument/2006/relationships/image" Target="../media/image82.png"/><Relationship Id="rId17" Type="http://schemas.openxmlformats.org/officeDocument/2006/relationships/image" Target="../media/image87.png"/><Relationship Id="rId25" Type="http://schemas.openxmlformats.org/officeDocument/2006/relationships/image" Target="../media/image95.png"/><Relationship Id="rId33" Type="http://schemas.openxmlformats.org/officeDocument/2006/relationships/image" Target="../media/image103.png"/><Relationship Id="rId38" Type="http://schemas.openxmlformats.org/officeDocument/2006/relationships/image" Target="../media/image108.png"/><Relationship Id="rId46" Type="http://schemas.openxmlformats.org/officeDocument/2006/relationships/image" Target="../media/image116.png"/><Relationship Id="rId59" Type="http://schemas.openxmlformats.org/officeDocument/2006/relationships/image" Target="../media/image129.png"/><Relationship Id="rId67" Type="http://schemas.openxmlformats.org/officeDocument/2006/relationships/image" Target="../media/image137.png"/><Relationship Id="rId20" Type="http://schemas.openxmlformats.org/officeDocument/2006/relationships/image" Target="../media/image90.png"/><Relationship Id="rId41" Type="http://schemas.openxmlformats.org/officeDocument/2006/relationships/image" Target="../media/image111.png"/><Relationship Id="rId54" Type="http://schemas.openxmlformats.org/officeDocument/2006/relationships/image" Target="../media/image124.png"/><Relationship Id="rId62" Type="http://schemas.openxmlformats.org/officeDocument/2006/relationships/image" Target="../media/image132.png"/><Relationship Id="rId70" Type="http://schemas.openxmlformats.org/officeDocument/2006/relationships/image" Target="../media/image140.png"/><Relationship Id="rId75" Type="http://schemas.openxmlformats.org/officeDocument/2006/relationships/image" Target="../media/image145.png"/><Relationship Id="rId1" Type="http://schemas.openxmlformats.org/officeDocument/2006/relationships/image" Target="../media/image71.png"/><Relationship Id="rId6" Type="http://schemas.openxmlformats.org/officeDocument/2006/relationships/image" Target="../media/image7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png"/><Relationship Id="rId3" Type="http://schemas.openxmlformats.org/officeDocument/2006/relationships/image" Target="../media/image148.png"/><Relationship Id="rId7" Type="http://schemas.openxmlformats.org/officeDocument/2006/relationships/image" Target="../media/image152.png"/><Relationship Id="rId2" Type="http://schemas.openxmlformats.org/officeDocument/2006/relationships/image" Target="../media/image147.png"/><Relationship Id="rId1" Type="http://schemas.openxmlformats.org/officeDocument/2006/relationships/image" Target="../media/image146.png"/><Relationship Id="rId6" Type="http://schemas.openxmlformats.org/officeDocument/2006/relationships/image" Target="../media/image151.png"/><Relationship Id="rId11" Type="http://schemas.openxmlformats.org/officeDocument/2006/relationships/image" Target="../media/image156.png"/><Relationship Id="rId5" Type="http://schemas.openxmlformats.org/officeDocument/2006/relationships/image" Target="../media/image150.png"/><Relationship Id="rId10" Type="http://schemas.openxmlformats.org/officeDocument/2006/relationships/image" Target="../media/image155.png"/><Relationship Id="rId4" Type="http://schemas.openxmlformats.org/officeDocument/2006/relationships/image" Target="../media/image149.png"/><Relationship Id="rId9" Type="http://schemas.openxmlformats.org/officeDocument/2006/relationships/image" Target="../media/image15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8.png"/><Relationship Id="rId1" Type="http://schemas.openxmlformats.org/officeDocument/2006/relationships/image" Target="../media/image1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1892300</xdr:colOff>
      <xdr:row>25</xdr:row>
      <xdr:rowOff>25400</xdr:rowOff>
    </xdr:from>
    <xdr:to>
      <xdr:col>0</xdr:col>
      <xdr:colOff>2806700</xdr:colOff>
      <xdr:row>29</xdr:row>
      <xdr:rowOff>52477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C5DAA788-22D8-9BDE-C7A8-C384DBC30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2300" y="5486400"/>
          <a:ext cx="914400" cy="78907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0</xdr:col>
      <xdr:colOff>1143000</xdr:colOff>
      <xdr:row>17</xdr:row>
      <xdr:rowOff>88900</xdr:rowOff>
    </xdr:from>
    <xdr:to>
      <xdr:col>0</xdr:col>
      <xdr:colOff>2709569</xdr:colOff>
      <xdr:row>24</xdr:row>
      <xdr:rowOff>146405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707F89-7C52-47E2-8632-3436CF308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" y="4216400"/>
          <a:ext cx="1566569" cy="13910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25400</xdr:rowOff>
    </xdr:from>
    <xdr:to>
      <xdr:col>0</xdr:col>
      <xdr:colOff>2892935</xdr:colOff>
      <xdr:row>41</xdr:row>
      <xdr:rowOff>31490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74CADA-C0B1-4B29-917A-3B01F5F64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010400"/>
          <a:ext cx="2892935" cy="19110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114300</xdr:rowOff>
    </xdr:from>
    <xdr:to>
      <xdr:col>0</xdr:col>
      <xdr:colOff>2960902</xdr:colOff>
      <xdr:row>73</xdr:row>
      <xdr:rowOff>101600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BAE1174-8DE2-407B-9AB8-D863F5030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385800"/>
          <a:ext cx="2960902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143</xdr:row>
      <xdr:rowOff>165100</xdr:rowOff>
    </xdr:from>
    <xdr:to>
      <xdr:col>0</xdr:col>
      <xdr:colOff>2819401</xdr:colOff>
      <xdr:row>152</xdr:row>
      <xdr:rowOff>21695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CD36D44-2E4B-481A-A585-A19ECF43A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001" y="28486100"/>
          <a:ext cx="2692400" cy="157109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110</xdr:row>
      <xdr:rowOff>1</xdr:rowOff>
    </xdr:from>
    <xdr:to>
      <xdr:col>0</xdr:col>
      <xdr:colOff>2914078</xdr:colOff>
      <xdr:row>119</xdr:row>
      <xdr:rowOff>177801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8EC404A-502F-4B14-9F5F-74263BF21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22034501"/>
          <a:ext cx="2812478" cy="18923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178</xdr:row>
      <xdr:rowOff>25400</xdr:rowOff>
    </xdr:from>
    <xdr:to>
      <xdr:col>0</xdr:col>
      <xdr:colOff>2837247</xdr:colOff>
      <xdr:row>188</xdr:row>
      <xdr:rowOff>174186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29A538D-D87F-4F83-8886-2639BB954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801" y="35013900"/>
          <a:ext cx="2532446" cy="20537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211</xdr:row>
      <xdr:rowOff>127000</xdr:rowOff>
    </xdr:from>
    <xdr:to>
      <xdr:col>0</xdr:col>
      <xdr:colOff>2805018</xdr:colOff>
      <xdr:row>222</xdr:row>
      <xdr:rowOff>139329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A74C2D4-7878-4A5C-8B77-267E402FF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0" y="41402000"/>
          <a:ext cx="2614518" cy="210782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309</xdr:row>
      <xdr:rowOff>63500</xdr:rowOff>
    </xdr:from>
    <xdr:to>
      <xdr:col>0</xdr:col>
      <xdr:colOff>2999988</xdr:colOff>
      <xdr:row>318</xdr:row>
      <xdr:rowOff>63500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4192F17-3BCD-40B1-A587-CD417147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3500" y="60007500"/>
          <a:ext cx="293648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257</xdr:row>
      <xdr:rowOff>25401</xdr:rowOff>
    </xdr:from>
    <xdr:to>
      <xdr:col>0</xdr:col>
      <xdr:colOff>2833655</xdr:colOff>
      <xdr:row>265</xdr:row>
      <xdr:rowOff>50801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15FED2C-AF9E-442B-AB36-50FAA2398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4300" y="50063401"/>
          <a:ext cx="2719355" cy="1549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363</xdr:row>
      <xdr:rowOff>76201</xdr:rowOff>
    </xdr:from>
    <xdr:to>
      <xdr:col>0</xdr:col>
      <xdr:colOff>2895600</xdr:colOff>
      <xdr:row>372</xdr:row>
      <xdr:rowOff>62619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95565A-B6A4-4FBD-86F8-AADA1BA3D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0" y="70307201"/>
          <a:ext cx="2819400" cy="170091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416</xdr:row>
      <xdr:rowOff>139700</xdr:rowOff>
    </xdr:from>
    <xdr:to>
      <xdr:col>0</xdr:col>
      <xdr:colOff>3009901</xdr:colOff>
      <xdr:row>425</xdr:row>
      <xdr:rowOff>178121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E3AF319-1C06-4E60-9433-3CDCBD1F1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3501" y="80467200"/>
          <a:ext cx="2946400" cy="175292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469</xdr:row>
      <xdr:rowOff>76200</xdr:rowOff>
    </xdr:from>
    <xdr:to>
      <xdr:col>0</xdr:col>
      <xdr:colOff>3016407</xdr:colOff>
      <xdr:row>479</xdr:row>
      <xdr:rowOff>2729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11485E5-BD35-4834-899F-9057F31A1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700" y="90500200"/>
          <a:ext cx="3003707" cy="1831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165100</xdr:rowOff>
    </xdr:from>
    <xdr:to>
      <xdr:col>0</xdr:col>
      <xdr:colOff>2940831</xdr:colOff>
      <xdr:row>534</xdr:row>
      <xdr:rowOff>9095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60AF216-FA5F-4F00-A9FB-4E19DC1A9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01066600"/>
          <a:ext cx="2940831" cy="174899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626</xdr:row>
      <xdr:rowOff>177800</xdr:rowOff>
    </xdr:from>
    <xdr:to>
      <xdr:col>0</xdr:col>
      <xdr:colOff>1460501</xdr:colOff>
      <xdr:row>634</xdr:row>
      <xdr:rowOff>158565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A0E7D55-58CE-4C87-B396-61842211A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8901" y="120510300"/>
          <a:ext cx="1371600" cy="150476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643</xdr:row>
      <xdr:rowOff>152401</xdr:rowOff>
    </xdr:from>
    <xdr:to>
      <xdr:col>0</xdr:col>
      <xdr:colOff>1782199</xdr:colOff>
      <xdr:row>652</xdr:row>
      <xdr:rowOff>50801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3DCC730-A743-4C12-9A2D-276BA357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800" y="123723401"/>
          <a:ext cx="1731399" cy="161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662</xdr:row>
      <xdr:rowOff>88900</xdr:rowOff>
    </xdr:from>
    <xdr:to>
      <xdr:col>0</xdr:col>
      <xdr:colOff>1995378</xdr:colOff>
      <xdr:row>671</xdr:row>
      <xdr:rowOff>120395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FF5A95B-A299-4A95-81CF-7FA03B0B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7000" y="127279400"/>
          <a:ext cx="1868378" cy="174599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685</xdr:row>
      <xdr:rowOff>177800</xdr:rowOff>
    </xdr:from>
    <xdr:to>
      <xdr:col>0</xdr:col>
      <xdr:colOff>1655901</xdr:colOff>
      <xdr:row>694</xdr:row>
      <xdr:rowOff>63248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E3EC074-C046-4276-BB8C-B285BD291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500" y="131749800"/>
          <a:ext cx="1592401" cy="159994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577</xdr:row>
      <xdr:rowOff>12700</xdr:rowOff>
    </xdr:from>
    <xdr:to>
      <xdr:col>0</xdr:col>
      <xdr:colOff>2333624</xdr:colOff>
      <xdr:row>585</xdr:row>
      <xdr:rowOff>121005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E26476B-411D-415F-8AC9-C064B2887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" y="111010700"/>
          <a:ext cx="1838324" cy="1632305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244475</xdr:colOff>
      <xdr:row>586</xdr:row>
      <xdr:rowOff>44451</xdr:rowOff>
    </xdr:from>
    <xdr:to>
      <xdr:col>0</xdr:col>
      <xdr:colOff>1615904</xdr:colOff>
      <xdr:row>596</xdr:row>
      <xdr:rowOff>91832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E7DE4C0-6481-4F84-B1E2-8EE23B2C1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4475" y="112756951"/>
          <a:ext cx="1371429" cy="1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601</xdr:row>
      <xdr:rowOff>114300</xdr:rowOff>
    </xdr:from>
    <xdr:to>
      <xdr:col>0</xdr:col>
      <xdr:colOff>2247690</xdr:colOff>
      <xdr:row>609</xdr:row>
      <xdr:rowOff>76014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DFBBF3D-6EBA-4ED8-9936-D2EB960AC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1500" y="115684300"/>
          <a:ext cx="1676190" cy="14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1666876</xdr:colOff>
      <xdr:row>624</xdr:row>
      <xdr:rowOff>107951</xdr:rowOff>
    </xdr:from>
    <xdr:to>
      <xdr:col>0</xdr:col>
      <xdr:colOff>2768616</xdr:colOff>
      <xdr:row>632</xdr:row>
      <xdr:rowOff>152400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00CD43C-78FF-46D1-AE91-3D49F8339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66876" y="120059451"/>
          <a:ext cx="1101740" cy="1568449"/>
        </a:xfrm>
        <a:prstGeom prst="rect">
          <a:avLst/>
        </a:prstGeom>
      </xdr:spPr>
    </xdr:pic>
    <xdr:clientData/>
  </xdr:twoCellAnchor>
  <xdr:twoCellAnchor editAs="oneCell">
    <xdr:from>
      <xdr:col>0</xdr:col>
      <xdr:colOff>1577976</xdr:colOff>
      <xdr:row>671</xdr:row>
      <xdr:rowOff>158751</xdr:rowOff>
    </xdr:from>
    <xdr:to>
      <xdr:col>0</xdr:col>
      <xdr:colOff>2679716</xdr:colOff>
      <xdr:row>680</xdr:row>
      <xdr:rowOff>12700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71A7D99-2271-4D3A-BDAD-E7F1AA74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7976" y="129063751"/>
          <a:ext cx="1101740" cy="1568449"/>
        </a:xfrm>
        <a:prstGeom prst="rect">
          <a:avLst/>
        </a:prstGeom>
      </xdr:spPr>
    </xdr:pic>
    <xdr:clientData/>
  </xdr:twoCellAnchor>
  <xdr:twoCellAnchor editAs="oneCell">
    <xdr:from>
      <xdr:col>0</xdr:col>
      <xdr:colOff>1511300</xdr:colOff>
      <xdr:row>694</xdr:row>
      <xdr:rowOff>50800</xdr:rowOff>
    </xdr:from>
    <xdr:to>
      <xdr:col>0</xdr:col>
      <xdr:colOff>2939871</xdr:colOff>
      <xdr:row>702</xdr:row>
      <xdr:rowOff>155371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CA2F8A6-F293-4DF7-A9C6-1D3598352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11300" y="133337300"/>
          <a:ext cx="1428571" cy="1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1612900</xdr:colOff>
      <xdr:row>714</xdr:row>
      <xdr:rowOff>165100</xdr:rowOff>
    </xdr:from>
    <xdr:to>
      <xdr:col>1</xdr:col>
      <xdr:colOff>6171</xdr:colOff>
      <xdr:row>723</xdr:row>
      <xdr:rowOff>79171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2E55D17-2FF3-4C1F-9A80-216E25AE4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12900" y="137261600"/>
          <a:ext cx="1428571" cy="1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741</xdr:row>
      <xdr:rowOff>101600</xdr:rowOff>
    </xdr:from>
    <xdr:to>
      <xdr:col>0</xdr:col>
      <xdr:colOff>2838271</xdr:colOff>
      <xdr:row>750</xdr:row>
      <xdr:rowOff>15671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6AEEA77-2288-4844-8B3D-DBAA65A46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09700" y="142341600"/>
          <a:ext cx="1428571" cy="1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1689101</xdr:colOff>
      <xdr:row>641</xdr:row>
      <xdr:rowOff>76201</xdr:rowOff>
    </xdr:from>
    <xdr:to>
      <xdr:col>0</xdr:col>
      <xdr:colOff>2997201</xdr:colOff>
      <xdr:row>649</xdr:row>
      <xdr:rowOff>43435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A50B7C8-68C1-428C-BCC9-083D065AE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89101" y="123266201"/>
          <a:ext cx="1308100" cy="14912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610</xdr:row>
      <xdr:rowOff>63500</xdr:rowOff>
    </xdr:from>
    <xdr:to>
      <xdr:col>0</xdr:col>
      <xdr:colOff>1492071</xdr:colOff>
      <xdr:row>618</xdr:row>
      <xdr:rowOff>168071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6931CF8-790D-49F5-A7BE-85141B202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3500" y="117348000"/>
          <a:ext cx="1428571" cy="1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1587500</xdr:colOff>
      <xdr:row>765</xdr:row>
      <xdr:rowOff>12700</xdr:rowOff>
    </xdr:from>
    <xdr:to>
      <xdr:col>0</xdr:col>
      <xdr:colOff>3016071</xdr:colOff>
      <xdr:row>773</xdr:row>
      <xdr:rowOff>117271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16980B1-56FD-426C-99CC-2C66FBD29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87500" y="146824700"/>
          <a:ext cx="1428571" cy="1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706</xdr:row>
      <xdr:rowOff>152400</xdr:rowOff>
    </xdr:from>
    <xdr:to>
      <xdr:col>0</xdr:col>
      <xdr:colOff>1676190</xdr:colOff>
      <xdr:row>714</xdr:row>
      <xdr:rowOff>114114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C9CE36C9-E54F-483C-B03B-C40B2B6B5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5724900"/>
          <a:ext cx="1676190" cy="14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732</xdr:row>
      <xdr:rowOff>63500</xdr:rowOff>
    </xdr:from>
    <xdr:to>
      <xdr:col>0</xdr:col>
      <xdr:colOff>1756799</xdr:colOff>
      <xdr:row>740</xdr:row>
      <xdr:rowOff>152400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E27D147-55B9-4B13-923D-9394F9D4E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400" y="140589000"/>
          <a:ext cx="1731399" cy="1612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756</xdr:row>
      <xdr:rowOff>127000</xdr:rowOff>
    </xdr:from>
    <xdr:to>
      <xdr:col>0</xdr:col>
      <xdr:colOff>1630501</xdr:colOff>
      <xdr:row>765</xdr:row>
      <xdr:rowOff>12448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7F9C0A1-8E38-454A-8665-88934EAAD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" y="145224500"/>
          <a:ext cx="1592401" cy="159994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881</xdr:row>
      <xdr:rowOff>127000</xdr:rowOff>
    </xdr:from>
    <xdr:to>
      <xdr:col>0</xdr:col>
      <xdr:colOff>2902031</xdr:colOff>
      <xdr:row>893</xdr:row>
      <xdr:rowOff>50800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0F3E037-BA71-4450-8641-E4C7B2FB8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3501" y="169037000"/>
          <a:ext cx="2838530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934</xdr:row>
      <xdr:rowOff>177800</xdr:rowOff>
    </xdr:from>
    <xdr:to>
      <xdr:col>0</xdr:col>
      <xdr:colOff>2814733</xdr:colOff>
      <xdr:row>945</xdr:row>
      <xdr:rowOff>101314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7D0B9FD-C64A-45E9-BA1E-030FFEFF2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4301" y="179184300"/>
          <a:ext cx="2700432" cy="2019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828</xdr:row>
      <xdr:rowOff>114301</xdr:rowOff>
    </xdr:from>
    <xdr:to>
      <xdr:col>0</xdr:col>
      <xdr:colOff>2858408</xdr:colOff>
      <xdr:row>837</xdr:row>
      <xdr:rowOff>139701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C418940-B485-4314-B3B4-9269FFE2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58927801"/>
          <a:ext cx="2858408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775</xdr:row>
      <xdr:rowOff>165100</xdr:rowOff>
    </xdr:from>
    <xdr:to>
      <xdr:col>0</xdr:col>
      <xdr:colOff>2902227</xdr:colOff>
      <xdr:row>786</xdr:row>
      <xdr:rowOff>28286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159FDE5-8BA6-4DB0-8F16-61E0FA69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7800" y="148882100"/>
          <a:ext cx="2724427" cy="195868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44</xdr:row>
      <xdr:rowOff>63500</xdr:rowOff>
    </xdr:from>
    <xdr:to>
      <xdr:col>0</xdr:col>
      <xdr:colOff>986510</xdr:colOff>
      <xdr:row>50</xdr:row>
      <xdr:rowOff>101600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B494205-EE59-416C-AAB1-1DE393BC4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2400" y="9525000"/>
          <a:ext cx="83411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51</xdr:row>
      <xdr:rowOff>12700</xdr:rowOff>
    </xdr:from>
    <xdr:to>
      <xdr:col>0</xdr:col>
      <xdr:colOff>1445655</xdr:colOff>
      <xdr:row>55</xdr:row>
      <xdr:rowOff>75981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36F382A-8ABF-4D0C-8476-27DA81BC6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7000" y="10807700"/>
          <a:ext cx="1318655" cy="825281"/>
        </a:xfrm>
        <a:prstGeom prst="rect">
          <a:avLst/>
        </a:prstGeom>
      </xdr:spPr>
    </xdr:pic>
    <xdr:clientData/>
  </xdr:twoCellAnchor>
  <xdr:twoCellAnchor editAs="oneCell">
    <xdr:from>
      <xdr:col>0</xdr:col>
      <xdr:colOff>119564</xdr:colOff>
      <xdr:row>56</xdr:row>
      <xdr:rowOff>71177</xdr:rowOff>
    </xdr:from>
    <xdr:to>
      <xdr:col>0</xdr:col>
      <xdr:colOff>1852510</xdr:colOff>
      <xdr:row>62</xdr:row>
      <xdr:rowOff>76200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AB4514F-995A-4B41-BA8C-FB16B819A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9564" y="11818677"/>
          <a:ext cx="1732946" cy="1148023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77</xdr:row>
      <xdr:rowOff>12700</xdr:rowOff>
    </xdr:from>
    <xdr:to>
      <xdr:col>0</xdr:col>
      <xdr:colOff>1339695</xdr:colOff>
      <xdr:row>87</xdr:row>
      <xdr:rowOff>31510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22E649A-BB37-41E9-AFCF-17A9877D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600" y="15760700"/>
          <a:ext cx="1238095" cy="1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90</xdr:row>
      <xdr:rowOff>103070</xdr:rowOff>
    </xdr:from>
    <xdr:to>
      <xdr:col>0</xdr:col>
      <xdr:colOff>2146300</xdr:colOff>
      <xdr:row>99</xdr:row>
      <xdr:rowOff>6110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175F8CC-7CCB-486D-94B2-8759BEED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2401" y="18327570"/>
          <a:ext cx="1993899" cy="161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123</xdr:row>
      <xdr:rowOff>63500</xdr:rowOff>
    </xdr:from>
    <xdr:to>
      <xdr:col>0</xdr:col>
      <xdr:colOff>961110</xdr:colOff>
      <xdr:row>129</xdr:row>
      <xdr:rowOff>101600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AEEC604D-6854-44AE-A6DC-FF8874813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7000" y="24574500"/>
          <a:ext cx="83411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130</xdr:row>
      <xdr:rowOff>88900</xdr:rowOff>
    </xdr:from>
    <xdr:to>
      <xdr:col>0</xdr:col>
      <xdr:colOff>1509155</xdr:colOff>
      <xdr:row>134</xdr:row>
      <xdr:rowOff>152181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FE51551-EE06-4343-BFE9-3E7D770D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0" y="25933400"/>
          <a:ext cx="1318655" cy="825281"/>
        </a:xfrm>
        <a:prstGeom prst="rect">
          <a:avLst/>
        </a:prstGeom>
      </xdr:spPr>
    </xdr:pic>
    <xdr:clientData/>
  </xdr:twoCellAnchor>
  <xdr:twoCellAnchor editAs="oneCell">
    <xdr:from>
      <xdr:col>0</xdr:col>
      <xdr:colOff>30664</xdr:colOff>
      <xdr:row>135</xdr:row>
      <xdr:rowOff>96576</xdr:rowOff>
    </xdr:from>
    <xdr:to>
      <xdr:col>0</xdr:col>
      <xdr:colOff>1782780</xdr:colOff>
      <xdr:row>141</xdr:row>
      <xdr:rowOff>114299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DA5C077-62AF-4FD4-8E76-2B3CAD21E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664" y="26893576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139699</xdr:colOff>
      <xdr:row>154</xdr:row>
      <xdr:rowOff>114300</xdr:rowOff>
    </xdr:from>
    <xdr:to>
      <xdr:col>0</xdr:col>
      <xdr:colOff>1130300</xdr:colOff>
      <xdr:row>162</xdr:row>
      <xdr:rowOff>129542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E1575261-1636-46EE-810C-8E6481DD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9699" y="30530800"/>
          <a:ext cx="990601" cy="1539242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167</xdr:row>
      <xdr:rowOff>141170</xdr:rowOff>
    </xdr:from>
    <xdr:to>
      <xdr:col>0</xdr:col>
      <xdr:colOff>1760421</xdr:colOff>
      <xdr:row>174</xdr:row>
      <xdr:rowOff>101866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490D541-3B00-4B61-A297-8B4A22779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5100" y="33034170"/>
          <a:ext cx="1595321" cy="1294196"/>
        </a:xfrm>
        <a:prstGeom prst="rect">
          <a:avLst/>
        </a:prstGeom>
      </xdr:spPr>
    </xdr:pic>
    <xdr:clientData/>
  </xdr:twoCellAnchor>
  <xdr:twoCellAnchor editAs="oneCell">
    <xdr:from>
      <xdr:col>0</xdr:col>
      <xdr:colOff>1549400</xdr:colOff>
      <xdr:row>154</xdr:row>
      <xdr:rowOff>50800</xdr:rowOff>
    </xdr:from>
    <xdr:to>
      <xdr:col>0</xdr:col>
      <xdr:colOff>2901781</xdr:colOff>
      <xdr:row>168</xdr:row>
      <xdr:rowOff>40943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6BDA773-B3DC-4140-B67E-61EC6F4D6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49400" y="30467300"/>
          <a:ext cx="1352381" cy="2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1752600</xdr:colOff>
      <xdr:row>122</xdr:row>
      <xdr:rowOff>25400</xdr:rowOff>
    </xdr:from>
    <xdr:to>
      <xdr:col>0</xdr:col>
      <xdr:colOff>2819400</xdr:colOff>
      <xdr:row>132</xdr:row>
      <xdr:rowOff>90923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0812EAA-1E3E-4481-97BD-E4357489E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4345900"/>
          <a:ext cx="1066800" cy="1970523"/>
        </a:xfrm>
        <a:prstGeom prst="rect">
          <a:avLst/>
        </a:prstGeom>
      </xdr:spPr>
    </xdr:pic>
    <xdr:clientData/>
  </xdr:twoCellAnchor>
  <xdr:twoCellAnchor editAs="oneCell">
    <xdr:from>
      <xdr:col>0</xdr:col>
      <xdr:colOff>1346201</xdr:colOff>
      <xdr:row>76</xdr:row>
      <xdr:rowOff>152400</xdr:rowOff>
    </xdr:from>
    <xdr:to>
      <xdr:col>0</xdr:col>
      <xdr:colOff>2886905</xdr:colOff>
      <xdr:row>88</xdr:row>
      <xdr:rowOff>177457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B30BFB3-8105-446A-8D16-BADE35262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46201" y="15709900"/>
          <a:ext cx="1540704" cy="2311057"/>
        </a:xfrm>
        <a:prstGeom prst="rect">
          <a:avLst/>
        </a:prstGeom>
      </xdr:spPr>
    </xdr:pic>
    <xdr:clientData/>
  </xdr:twoCellAnchor>
  <xdr:twoCellAnchor editAs="oneCell">
    <xdr:from>
      <xdr:col>0</xdr:col>
      <xdr:colOff>1612900</xdr:colOff>
      <xdr:row>43</xdr:row>
      <xdr:rowOff>152400</xdr:rowOff>
    </xdr:from>
    <xdr:to>
      <xdr:col>0</xdr:col>
      <xdr:colOff>2829650</xdr:colOff>
      <xdr:row>54</xdr:row>
      <xdr:rowOff>123443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6654FF5-85B8-4B5E-9F92-09F58956D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612900" y="9423400"/>
          <a:ext cx="1216750" cy="2066543"/>
        </a:xfrm>
        <a:prstGeom prst="rect">
          <a:avLst/>
        </a:prstGeom>
      </xdr:spPr>
    </xdr:pic>
    <xdr:clientData/>
  </xdr:twoCellAnchor>
  <xdr:twoCellAnchor editAs="oneCell">
    <xdr:from>
      <xdr:col>0</xdr:col>
      <xdr:colOff>1943100</xdr:colOff>
      <xdr:row>191</xdr:row>
      <xdr:rowOff>76200</xdr:rowOff>
    </xdr:from>
    <xdr:to>
      <xdr:col>0</xdr:col>
      <xdr:colOff>2849120</xdr:colOff>
      <xdr:row>203</xdr:row>
      <xdr:rowOff>9181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FA9E462F-ED95-4240-AD07-2D1468CDD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43100" y="37541200"/>
          <a:ext cx="906020" cy="2218981"/>
        </a:xfrm>
        <a:prstGeom prst="rect">
          <a:avLst/>
        </a:prstGeom>
      </xdr:spPr>
    </xdr:pic>
    <xdr:clientData/>
  </xdr:twoCellAnchor>
  <xdr:twoCellAnchor editAs="oneCell">
    <xdr:from>
      <xdr:col>0</xdr:col>
      <xdr:colOff>172536</xdr:colOff>
      <xdr:row>191</xdr:row>
      <xdr:rowOff>63500</xdr:rowOff>
    </xdr:from>
    <xdr:to>
      <xdr:col>0</xdr:col>
      <xdr:colOff>1006646</xdr:colOff>
      <xdr:row>197</xdr:row>
      <xdr:rowOff>101600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9362ACC-80D1-43A7-82AA-43983929F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2536" y="37528500"/>
          <a:ext cx="83411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236036</xdr:colOff>
      <xdr:row>198</xdr:row>
      <xdr:rowOff>88900</xdr:rowOff>
    </xdr:from>
    <xdr:to>
      <xdr:col>0</xdr:col>
      <xdr:colOff>1554691</xdr:colOff>
      <xdr:row>202</xdr:row>
      <xdr:rowOff>152181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C2182D2-E878-4E77-81B2-FA093624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6036" y="38887400"/>
          <a:ext cx="1318655" cy="82528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203</xdr:row>
      <xdr:rowOff>96576</xdr:rowOff>
    </xdr:from>
    <xdr:to>
      <xdr:col>0</xdr:col>
      <xdr:colOff>1828316</xdr:colOff>
      <xdr:row>209</xdr:row>
      <xdr:rowOff>114299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4C879CB5-C1A3-477F-9FC7-CD1765FA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6200" y="39847576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225</xdr:row>
      <xdr:rowOff>152400</xdr:rowOff>
    </xdr:from>
    <xdr:to>
      <xdr:col>0</xdr:col>
      <xdr:colOff>1407021</xdr:colOff>
      <xdr:row>236</xdr:row>
      <xdr:rowOff>174286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1D5CF76-906A-4F1C-8EE6-862595545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4301" y="44094400"/>
          <a:ext cx="1292720" cy="2117386"/>
        </a:xfrm>
        <a:prstGeom prst="rect">
          <a:avLst/>
        </a:prstGeom>
      </xdr:spPr>
    </xdr:pic>
    <xdr:clientData/>
  </xdr:twoCellAnchor>
  <xdr:twoCellAnchor editAs="oneCell">
    <xdr:from>
      <xdr:col>0</xdr:col>
      <xdr:colOff>1689100</xdr:colOff>
      <xdr:row>227</xdr:row>
      <xdr:rowOff>114300</xdr:rowOff>
    </xdr:from>
    <xdr:to>
      <xdr:col>0</xdr:col>
      <xdr:colOff>2679701</xdr:colOff>
      <xdr:row>235</xdr:row>
      <xdr:rowOff>129542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160F2B9-8F04-4405-A4AA-B3C8AF0C5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89100" y="44437300"/>
          <a:ext cx="990601" cy="153924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237</xdr:row>
      <xdr:rowOff>153870</xdr:rowOff>
    </xdr:from>
    <xdr:to>
      <xdr:col>0</xdr:col>
      <xdr:colOff>1671522</xdr:colOff>
      <xdr:row>244</xdr:row>
      <xdr:rowOff>114566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05A3955-A27B-47DF-998B-574F1A88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6201" y="46381870"/>
          <a:ext cx="1595321" cy="1294196"/>
        </a:xfrm>
        <a:prstGeom prst="rect">
          <a:avLst/>
        </a:prstGeom>
      </xdr:spPr>
    </xdr:pic>
    <xdr:clientData/>
  </xdr:twoCellAnchor>
  <xdr:twoCellAnchor editAs="oneCell">
    <xdr:from>
      <xdr:col>0</xdr:col>
      <xdr:colOff>147136</xdr:colOff>
      <xdr:row>269</xdr:row>
      <xdr:rowOff>63500</xdr:rowOff>
    </xdr:from>
    <xdr:to>
      <xdr:col>0</xdr:col>
      <xdr:colOff>981246</xdr:colOff>
      <xdr:row>275</xdr:row>
      <xdr:rowOff>101600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0302D57-8518-4FBA-ABAF-827905AA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7136" y="52387500"/>
          <a:ext cx="83411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121736</xdr:colOff>
      <xdr:row>276</xdr:row>
      <xdr:rowOff>12700</xdr:rowOff>
    </xdr:from>
    <xdr:to>
      <xdr:col>0</xdr:col>
      <xdr:colOff>1440391</xdr:colOff>
      <xdr:row>280</xdr:row>
      <xdr:rowOff>75981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23603F3-B251-4CBC-80A2-F3E38AC9E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1736" y="53670200"/>
          <a:ext cx="1318655" cy="82528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281</xdr:row>
      <xdr:rowOff>71177</xdr:rowOff>
    </xdr:from>
    <xdr:to>
      <xdr:col>0</xdr:col>
      <xdr:colOff>1847246</xdr:colOff>
      <xdr:row>287</xdr:row>
      <xdr:rowOff>76200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CB0D00B0-8C20-4C86-A59E-879DDB400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4300" y="54681177"/>
          <a:ext cx="1732946" cy="1148023"/>
        </a:xfrm>
        <a:prstGeom prst="rect">
          <a:avLst/>
        </a:prstGeom>
      </xdr:spPr>
    </xdr:pic>
    <xdr:clientData/>
  </xdr:twoCellAnchor>
  <xdr:twoCellAnchor editAs="oneCell">
    <xdr:from>
      <xdr:col>0</xdr:col>
      <xdr:colOff>1607636</xdr:colOff>
      <xdr:row>268</xdr:row>
      <xdr:rowOff>152400</xdr:rowOff>
    </xdr:from>
    <xdr:to>
      <xdr:col>0</xdr:col>
      <xdr:colOff>2824386</xdr:colOff>
      <xdr:row>279</xdr:row>
      <xdr:rowOff>123443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65229934-84D2-4A05-8549-2D455BC7E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607636" y="52285900"/>
          <a:ext cx="1216750" cy="2066543"/>
        </a:xfrm>
        <a:prstGeom prst="rect">
          <a:avLst/>
        </a:prstGeom>
      </xdr:spPr>
    </xdr:pic>
    <xdr:clientData/>
  </xdr:twoCellAnchor>
  <xdr:twoCellAnchor editAs="oneCell">
    <xdr:from>
      <xdr:col>0</xdr:col>
      <xdr:colOff>185236</xdr:colOff>
      <xdr:row>322</xdr:row>
      <xdr:rowOff>114300</xdr:rowOff>
    </xdr:from>
    <xdr:to>
      <xdr:col>0</xdr:col>
      <xdr:colOff>1019346</xdr:colOff>
      <xdr:row>328</xdr:row>
      <xdr:rowOff>152400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51A7319D-1A29-45FD-8631-4A3AB170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5236" y="62534800"/>
          <a:ext cx="83411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159836</xdr:colOff>
      <xdr:row>329</xdr:row>
      <xdr:rowOff>63500</xdr:rowOff>
    </xdr:from>
    <xdr:to>
      <xdr:col>0</xdr:col>
      <xdr:colOff>1478491</xdr:colOff>
      <xdr:row>333</xdr:row>
      <xdr:rowOff>126781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B0F47FD-380F-481A-BD6E-9444E8284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9836" y="63817500"/>
          <a:ext cx="1318655" cy="82528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334</xdr:row>
      <xdr:rowOff>121977</xdr:rowOff>
    </xdr:from>
    <xdr:to>
      <xdr:col>0</xdr:col>
      <xdr:colOff>1885346</xdr:colOff>
      <xdr:row>340</xdr:row>
      <xdr:rowOff>127000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DD340E5D-6AEF-436B-87E9-028BDA93B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2400" y="64828477"/>
          <a:ext cx="1732946" cy="1148023"/>
        </a:xfrm>
        <a:prstGeom prst="rect">
          <a:avLst/>
        </a:prstGeom>
      </xdr:spPr>
    </xdr:pic>
    <xdr:clientData/>
  </xdr:twoCellAnchor>
  <xdr:twoCellAnchor editAs="oneCell">
    <xdr:from>
      <xdr:col>0</xdr:col>
      <xdr:colOff>1645736</xdr:colOff>
      <xdr:row>322</xdr:row>
      <xdr:rowOff>12700</xdr:rowOff>
    </xdr:from>
    <xdr:to>
      <xdr:col>0</xdr:col>
      <xdr:colOff>2862486</xdr:colOff>
      <xdr:row>332</xdr:row>
      <xdr:rowOff>174243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56155C3D-4BFC-458F-BC25-A49A0EE95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645736" y="62433200"/>
          <a:ext cx="1216750" cy="2066543"/>
        </a:xfrm>
        <a:prstGeom prst="rect">
          <a:avLst/>
        </a:prstGeom>
      </xdr:spPr>
    </xdr:pic>
    <xdr:clientData/>
  </xdr:twoCellAnchor>
  <xdr:twoCellAnchor editAs="oneCell">
    <xdr:from>
      <xdr:col>0</xdr:col>
      <xdr:colOff>185236</xdr:colOff>
      <xdr:row>377</xdr:row>
      <xdr:rowOff>12700</xdr:rowOff>
    </xdr:from>
    <xdr:to>
      <xdr:col>0</xdr:col>
      <xdr:colOff>1019346</xdr:colOff>
      <xdr:row>383</xdr:row>
      <xdr:rowOff>50800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E2AFBD3F-036F-494D-A1F0-D2FE2BEF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5236" y="72910700"/>
          <a:ext cx="83411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248736</xdr:colOff>
      <xdr:row>384</xdr:row>
      <xdr:rowOff>38100</xdr:rowOff>
    </xdr:from>
    <xdr:to>
      <xdr:col>0</xdr:col>
      <xdr:colOff>1567391</xdr:colOff>
      <xdr:row>388</xdr:row>
      <xdr:rowOff>101381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DE55364-12BD-40CF-B3BE-A766944A7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8736" y="74269600"/>
          <a:ext cx="1318655" cy="825281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389</xdr:row>
      <xdr:rowOff>45776</xdr:rowOff>
    </xdr:from>
    <xdr:to>
      <xdr:col>0</xdr:col>
      <xdr:colOff>1841016</xdr:colOff>
      <xdr:row>395</xdr:row>
      <xdr:rowOff>63499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7CF20EF-0B73-4858-A036-02FEE0056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8900" y="75229776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1810836</xdr:colOff>
      <xdr:row>375</xdr:row>
      <xdr:rowOff>165100</xdr:rowOff>
    </xdr:from>
    <xdr:to>
      <xdr:col>0</xdr:col>
      <xdr:colOff>2877636</xdr:colOff>
      <xdr:row>386</xdr:row>
      <xdr:rowOff>40123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C0157474-23DD-4079-BB6B-0A0358741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810836" y="72682100"/>
          <a:ext cx="1066800" cy="1970523"/>
        </a:xfrm>
        <a:prstGeom prst="rect">
          <a:avLst/>
        </a:prstGeom>
      </xdr:spPr>
    </xdr:pic>
    <xdr:clientData/>
  </xdr:twoCellAnchor>
  <xdr:twoCellAnchor editAs="oneCell">
    <xdr:from>
      <xdr:col>0</xdr:col>
      <xdr:colOff>109036</xdr:colOff>
      <xdr:row>429</xdr:row>
      <xdr:rowOff>139700</xdr:rowOff>
    </xdr:from>
    <xdr:to>
      <xdr:col>0</xdr:col>
      <xdr:colOff>943146</xdr:colOff>
      <xdr:row>435</xdr:row>
      <xdr:rowOff>177800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717ECA91-937E-4E8F-8813-91B91F5EB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9036" y="82943700"/>
          <a:ext cx="83411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172536</xdr:colOff>
      <xdr:row>436</xdr:row>
      <xdr:rowOff>165100</xdr:rowOff>
    </xdr:from>
    <xdr:to>
      <xdr:col>0</xdr:col>
      <xdr:colOff>1491191</xdr:colOff>
      <xdr:row>441</xdr:row>
      <xdr:rowOff>37881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15609C0-C4F6-4222-BDF0-20B9382FB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2536" y="84302600"/>
          <a:ext cx="1318655" cy="82528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441</xdr:row>
      <xdr:rowOff>172776</xdr:rowOff>
    </xdr:from>
    <xdr:to>
      <xdr:col>0</xdr:col>
      <xdr:colOff>1764816</xdr:colOff>
      <xdr:row>447</xdr:row>
      <xdr:rowOff>190499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C80AA41-90B5-484C-8537-CD1735DF1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700" y="85262776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1734636</xdr:colOff>
      <xdr:row>428</xdr:row>
      <xdr:rowOff>101600</xdr:rowOff>
    </xdr:from>
    <xdr:to>
      <xdr:col>0</xdr:col>
      <xdr:colOff>2801436</xdr:colOff>
      <xdr:row>438</xdr:row>
      <xdr:rowOff>167123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339C63F-732E-4381-AFD7-64FED0807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4636" y="82715100"/>
          <a:ext cx="1066800" cy="1970523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1968500</xdr:colOff>
      <xdr:row>482</xdr:row>
      <xdr:rowOff>63500</xdr:rowOff>
    </xdr:from>
    <xdr:to>
      <xdr:col>0</xdr:col>
      <xdr:colOff>2874520</xdr:colOff>
      <xdr:row>493</xdr:row>
      <xdr:rowOff>186981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823ADB1C-D4F3-4A33-873A-9D08B067D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68500" y="92964000"/>
          <a:ext cx="906020" cy="2218981"/>
        </a:xfrm>
        <a:prstGeom prst="rect">
          <a:avLst/>
        </a:prstGeom>
      </xdr:spPr>
    </xdr:pic>
    <xdr:clientData/>
  </xdr:twoCellAnchor>
  <xdr:twoCellAnchor editAs="oneCell">
    <xdr:from>
      <xdr:col>0</xdr:col>
      <xdr:colOff>197936</xdr:colOff>
      <xdr:row>482</xdr:row>
      <xdr:rowOff>50800</xdr:rowOff>
    </xdr:from>
    <xdr:to>
      <xdr:col>0</xdr:col>
      <xdr:colOff>1032046</xdr:colOff>
      <xdr:row>488</xdr:row>
      <xdr:rowOff>88900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B6045B7-ADF0-421A-8FF7-489FE90C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7936" y="92951300"/>
          <a:ext cx="83411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261436</xdr:colOff>
      <xdr:row>489</xdr:row>
      <xdr:rowOff>76200</xdr:rowOff>
    </xdr:from>
    <xdr:to>
      <xdr:col>0</xdr:col>
      <xdr:colOff>1580091</xdr:colOff>
      <xdr:row>493</xdr:row>
      <xdr:rowOff>139481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B38F28F7-E7B2-487D-979C-7BAC4DFB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61436" y="94310200"/>
          <a:ext cx="1318655" cy="825281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494</xdr:row>
      <xdr:rowOff>83876</xdr:rowOff>
    </xdr:from>
    <xdr:to>
      <xdr:col>0</xdr:col>
      <xdr:colOff>1853716</xdr:colOff>
      <xdr:row>500</xdr:row>
      <xdr:rowOff>101599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3250876-BD76-46C9-BEA1-304098C63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1600" y="95270376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1968500</xdr:colOff>
      <xdr:row>537</xdr:row>
      <xdr:rowOff>12700</xdr:rowOff>
    </xdr:from>
    <xdr:to>
      <xdr:col>0</xdr:col>
      <xdr:colOff>2874520</xdr:colOff>
      <xdr:row>548</xdr:row>
      <xdr:rowOff>136181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2EA2306F-6BC4-43C8-8E3E-F7D7A344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68500" y="103390700"/>
          <a:ext cx="906020" cy="2218981"/>
        </a:xfrm>
        <a:prstGeom prst="rect">
          <a:avLst/>
        </a:prstGeom>
      </xdr:spPr>
    </xdr:pic>
    <xdr:clientData/>
  </xdr:twoCellAnchor>
  <xdr:twoCellAnchor editAs="oneCell">
    <xdr:from>
      <xdr:col>0</xdr:col>
      <xdr:colOff>197936</xdr:colOff>
      <xdr:row>537</xdr:row>
      <xdr:rowOff>0</xdr:rowOff>
    </xdr:from>
    <xdr:to>
      <xdr:col>0</xdr:col>
      <xdr:colOff>1032046</xdr:colOff>
      <xdr:row>543</xdr:row>
      <xdr:rowOff>38100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B93D26C-AF9F-4441-A7FC-31E14C021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7936" y="103378000"/>
          <a:ext cx="83411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261436</xdr:colOff>
      <xdr:row>544</xdr:row>
      <xdr:rowOff>25400</xdr:rowOff>
    </xdr:from>
    <xdr:to>
      <xdr:col>0</xdr:col>
      <xdr:colOff>1580091</xdr:colOff>
      <xdr:row>548</xdr:row>
      <xdr:rowOff>88681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96D386E-7EC4-4166-A06A-68B5CD9E9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61436" y="104736900"/>
          <a:ext cx="1318655" cy="825281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549</xdr:row>
      <xdr:rowOff>33076</xdr:rowOff>
    </xdr:from>
    <xdr:to>
      <xdr:col>0</xdr:col>
      <xdr:colOff>1853716</xdr:colOff>
      <xdr:row>555</xdr:row>
      <xdr:rowOff>50799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056AEA4-A073-4372-BF60-FDDC0ED8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1600" y="105697076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1600200</xdr:colOff>
      <xdr:row>610</xdr:row>
      <xdr:rowOff>114300</xdr:rowOff>
    </xdr:from>
    <xdr:to>
      <xdr:col>0</xdr:col>
      <xdr:colOff>2848187</xdr:colOff>
      <xdr:row>616</xdr:row>
      <xdr:rowOff>152190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491DFE2-42DD-49D5-AAE4-F6E37E523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600200" y="117398800"/>
          <a:ext cx="1247987" cy="1180890"/>
        </a:xfrm>
        <a:prstGeom prst="rect">
          <a:avLst/>
        </a:prstGeom>
      </xdr:spPr>
    </xdr:pic>
    <xdr:clientData/>
  </xdr:twoCellAnchor>
  <xdr:twoCellAnchor editAs="oneCell">
    <xdr:from>
      <xdr:col>0</xdr:col>
      <xdr:colOff>1689100</xdr:colOff>
      <xdr:row>587</xdr:row>
      <xdr:rowOff>88900</xdr:rowOff>
    </xdr:from>
    <xdr:to>
      <xdr:col>0</xdr:col>
      <xdr:colOff>2937087</xdr:colOff>
      <xdr:row>593</xdr:row>
      <xdr:rowOff>126790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4E7C9519-6893-4340-8E68-E39D64326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689100" y="112991900"/>
          <a:ext cx="1247987" cy="1180890"/>
        </a:xfrm>
        <a:prstGeom prst="rect">
          <a:avLst/>
        </a:prstGeom>
      </xdr:spPr>
    </xdr:pic>
    <xdr:clientData/>
  </xdr:twoCellAnchor>
  <xdr:twoCellAnchor editAs="oneCell">
    <xdr:from>
      <xdr:col>0</xdr:col>
      <xdr:colOff>1549400</xdr:colOff>
      <xdr:row>633</xdr:row>
      <xdr:rowOff>50800</xdr:rowOff>
    </xdr:from>
    <xdr:to>
      <xdr:col>0</xdr:col>
      <xdr:colOff>2797387</xdr:colOff>
      <xdr:row>639</xdr:row>
      <xdr:rowOff>88690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50D43CE7-562F-456B-A1CF-3D4993A10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549400" y="121716800"/>
          <a:ext cx="1247987" cy="118089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1778001</xdr:colOff>
      <xdr:row>650</xdr:row>
      <xdr:rowOff>25401</xdr:rowOff>
    </xdr:from>
    <xdr:to>
      <xdr:col>0</xdr:col>
      <xdr:colOff>3025988</xdr:colOff>
      <xdr:row>656</xdr:row>
      <xdr:rowOff>63291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646D784C-9D7E-4CBA-8AF4-095C8A49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78001" y="124929901"/>
          <a:ext cx="1247987" cy="118089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203201</xdr:colOff>
      <xdr:row>672</xdr:row>
      <xdr:rowOff>63501</xdr:rowOff>
    </xdr:from>
    <xdr:to>
      <xdr:col>0</xdr:col>
      <xdr:colOff>1451188</xdr:colOff>
      <xdr:row>678</xdr:row>
      <xdr:rowOff>101391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6A242A4F-769C-4B57-8EB0-87FAE8E2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03201" y="129159001"/>
          <a:ext cx="1247987" cy="118089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1651000</xdr:colOff>
      <xdr:row>685</xdr:row>
      <xdr:rowOff>152400</xdr:rowOff>
    </xdr:from>
    <xdr:to>
      <xdr:col>0</xdr:col>
      <xdr:colOff>2898987</xdr:colOff>
      <xdr:row>691</xdr:row>
      <xdr:rowOff>190290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CF49D414-873C-4C0A-856D-955DA8696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651000" y="131724400"/>
          <a:ext cx="1247987" cy="118089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715</xdr:row>
      <xdr:rowOff>127000</xdr:rowOff>
    </xdr:from>
    <xdr:to>
      <xdr:col>0</xdr:col>
      <xdr:colOff>1552787</xdr:colOff>
      <xdr:row>721</xdr:row>
      <xdr:rowOff>164890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E63B865-6F63-4B0F-AF40-1B6AA5CF9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04800" y="137414000"/>
          <a:ext cx="1247987" cy="11808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741</xdr:row>
      <xdr:rowOff>165100</xdr:rowOff>
    </xdr:from>
    <xdr:to>
      <xdr:col>0</xdr:col>
      <xdr:colOff>1374987</xdr:colOff>
      <xdr:row>748</xdr:row>
      <xdr:rowOff>12490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2E6CA3E6-BC3C-4E57-A5E8-49B5B84F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7000" y="142405100"/>
          <a:ext cx="1247987" cy="118089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765</xdr:row>
      <xdr:rowOff>177800</xdr:rowOff>
    </xdr:from>
    <xdr:to>
      <xdr:col>0</xdr:col>
      <xdr:colOff>1451187</xdr:colOff>
      <xdr:row>772</xdr:row>
      <xdr:rowOff>25190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D11E5657-63D6-42CC-B230-7CBA35744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03200" y="146989800"/>
          <a:ext cx="1247987" cy="118089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787</xdr:row>
      <xdr:rowOff>101600</xdr:rowOff>
    </xdr:from>
    <xdr:to>
      <xdr:col>0</xdr:col>
      <xdr:colOff>1730587</xdr:colOff>
      <xdr:row>793</xdr:row>
      <xdr:rowOff>139490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E3838DE2-299B-426B-A6BD-71A6C6A05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2600" y="151104600"/>
          <a:ext cx="1247987" cy="118089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1409732</xdr:colOff>
      <xdr:row>794</xdr:row>
      <xdr:rowOff>38100</xdr:rowOff>
    </xdr:from>
    <xdr:to>
      <xdr:col>0</xdr:col>
      <xdr:colOff>2673147</xdr:colOff>
      <xdr:row>799</xdr:row>
      <xdr:rowOff>88900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C9BEA0-868B-457A-8591-0DFC785F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09732" y="152374600"/>
          <a:ext cx="1263415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800</xdr:row>
      <xdr:rowOff>63500</xdr:rowOff>
    </xdr:from>
    <xdr:to>
      <xdr:col>0</xdr:col>
      <xdr:colOff>1827585</xdr:colOff>
      <xdr:row>810</xdr:row>
      <xdr:rowOff>47214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71F185A7-1430-4BF8-A790-F6C52AA53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69900" y="153543000"/>
          <a:ext cx="1357685" cy="1888714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838</xdr:row>
      <xdr:rowOff>163277</xdr:rowOff>
    </xdr:from>
    <xdr:to>
      <xdr:col>0</xdr:col>
      <xdr:colOff>1562100</xdr:colOff>
      <xdr:row>848</xdr:row>
      <xdr:rowOff>150153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5AEED626-4E52-4A7F-B59C-1E98422F9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7800" y="160881777"/>
          <a:ext cx="1384300" cy="1891876"/>
        </a:xfrm>
        <a:prstGeom prst="rect">
          <a:avLst/>
        </a:prstGeom>
      </xdr:spPr>
    </xdr:pic>
    <xdr:clientData/>
  </xdr:twoCellAnchor>
  <xdr:twoCellAnchor editAs="oneCell">
    <xdr:from>
      <xdr:col>0</xdr:col>
      <xdr:colOff>1625600</xdr:colOff>
      <xdr:row>842</xdr:row>
      <xdr:rowOff>25400</xdr:rowOff>
    </xdr:from>
    <xdr:to>
      <xdr:col>0</xdr:col>
      <xdr:colOff>2873587</xdr:colOff>
      <xdr:row>848</xdr:row>
      <xdr:rowOff>63290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9B91852F-538A-4CBB-AC5F-C519D5BF1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625600" y="161505900"/>
          <a:ext cx="1247987" cy="11808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762032</xdr:colOff>
      <xdr:row>849</xdr:row>
      <xdr:rowOff>152400</xdr:rowOff>
    </xdr:from>
    <xdr:to>
      <xdr:col>0</xdr:col>
      <xdr:colOff>2025447</xdr:colOff>
      <xdr:row>855</xdr:row>
      <xdr:rowOff>12700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B694B336-01DC-4C81-8F17-7582B3306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62032" y="162966400"/>
          <a:ext cx="1263415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121736</xdr:colOff>
      <xdr:row>895</xdr:row>
      <xdr:rowOff>165100</xdr:rowOff>
    </xdr:from>
    <xdr:to>
      <xdr:col>0</xdr:col>
      <xdr:colOff>955846</xdr:colOff>
      <xdr:row>902</xdr:row>
      <xdr:rowOff>12700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563A08B7-B867-4BA5-AF08-8FCA076D8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1736" y="171742100"/>
          <a:ext cx="83411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185236</xdr:colOff>
      <xdr:row>903</xdr:row>
      <xdr:rowOff>0</xdr:rowOff>
    </xdr:from>
    <xdr:to>
      <xdr:col>0</xdr:col>
      <xdr:colOff>1503891</xdr:colOff>
      <xdr:row>907</xdr:row>
      <xdr:rowOff>63281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9C45172E-621D-49F8-A962-38DB1EB52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5236" y="173101000"/>
          <a:ext cx="1318655" cy="825281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908</xdr:row>
      <xdr:rowOff>147376</xdr:rowOff>
    </xdr:from>
    <xdr:to>
      <xdr:col>0</xdr:col>
      <xdr:colOff>2310916</xdr:colOff>
      <xdr:row>914</xdr:row>
      <xdr:rowOff>165099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B714643B-3346-413E-9A1A-5B29A55CA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58800" y="174200876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1625600</xdr:colOff>
      <xdr:row>895</xdr:row>
      <xdr:rowOff>127000</xdr:rowOff>
    </xdr:from>
    <xdr:to>
      <xdr:col>0</xdr:col>
      <xdr:colOff>2755250</xdr:colOff>
      <xdr:row>906</xdr:row>
      <xdr:rowOff>139700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8743C784-0997-4F48-879B-4E44D393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625600" y="171704000"/>
          <a:ext cx="1129650" cy="21082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956</xdr:row>
      <xdr:rowOff>101600</xdr:rowOff>
    </xdr:from>
    <xdr:to>
      <xdr:col>0</xdr:col>
      <xdr:colOff>1598055</xdr:colOff>
      <xdr:row>960</xdr:row>
      <xdr:rowOff>164881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5685DDD-D454-4D9A-BECE-12999DEFB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9400" y="183299100"/>
          <a:ext cx="1318655" cy="825281"/>
        </a:xfrm>
        <a:prstGeom prst="rect">
          <a:avLst/>
        </a:prstGeom>
      </xdr:spPr>
    </xdr:pic>
    <xdr:clientData/>
  </xdr:twoCellAnchor>
  <xdr:twoCellAnchor editAs="oneCell">
    <xdr:from>
      <xdr:col>0</xdr:col>
      <xdr:colOff>652964</xdr:colOff>
      <xdr:row>962</xdr:row>
      <xdr:rowOff>58476</xdr:rowOff>
    </xdr:from>
    <xdr:to>
      <xdr:col>0</xdr:col>
      <xdr:colOff>2405080</xdr:colOff>
      <xdr:row>968</xdr:row>
      <xdr:rowOff>76199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546BC5FB-5C93-4F83-8AA7-9E2506E2C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2964" y="184398976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1719764</xdr:colOff>
      <xdr:row>949</xdr:row>
      <xdr:rowOff>38100</xdr:rowOff>
    </xdr:from>
    <xdr:to>
      <xdr:col>0</xdr:col>
      <xdr:colOff>2849414</xdr:colOff>
      <xdr:row>960</xdr:row>
      <xdr:rowOff>50800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C3913C3-9BF5-4AD4-8DBF-1C71DF26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19764" y="181902100"/>
          <a:ext cx="1129650" cy="2108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241301</xdr:colOff>
      <xdr:row>948</xdr:row>
      <xdr:rowOff>165100</xdr:rowOff>
    </xdr:from>
    <xdr:to>
      <xdr:col>0</xdr:col>
      <xdr:colOff>1231901</xdr:colOff>
      <xdr:row>956</xdr:row>
      <xdr:rowOff>63319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135F2858-6C3B-49EF-B7DF-D0DEA6990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41301" y="181838600"/>
          <a:ext cx="990600" cy="142221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1524001</xdr:colOff>
      <xdr:row>8</xdr:row>
      <xdr:rowOff>8044</xdr:rowOff>
    </xdr:from>
    <xdr:to>
      <xdr:col>0</xdr:col>
      <xdr:colOff>2743201</xdr:colOff>
      <xdr:row>14</xdr:row>
      <xdr:rowOff>190261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ECCB1A5-39C3-2E3D-C4FD-4BD776D69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524001" y="2230544"/>
          <a:ext cx="1219200" cy="13252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8</xdr:row>
      <xdr:rowOff>101600</xdr:rowOff>
    </xdr:from>
    <xdr:to>
      <xdr:col>0</xdr:col>
      <xdr:colOff>1072031</xdr:colOff>
      <xdr:row>14</xdr:row>
      <xdr:rowOff>9324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741B1513-6BC4-7E71-555E-F90CC82B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7001" y="2324100"/>
          <a:ext cx="945030" cy="1050724"/>
        </a:xfrm>
        <a:prstGeom prst="rect">
          <a:avLst/>
        </a:prstGeom>
      </xdr:spPr>
    </xdr:pic>
    <xdr:clientData/>
  </xdr:twoCellAnchor>
  <xdr:twoCellAnchor editAs="oneCell">
    <xdr:from>
      <xdr:col>0</xdr:col>
      <xdr:colOff>1790701</xdr:colOff>
      <xdr:row>2</xdr:row>
      <xdr:rowOff>50801</xdr:rowOff>
    </xdr:from>
    <xdr:to>
      <xdr:col>0</xdr:col>
      <xdr:colOff>2679700</xdr:colOff>
      <xdr:row>6</xdr:row>
      <xdr:rowOff>133351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AB0B9CCA-DAC3-3D57-9E13-61150983B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90701" y="1130301"/>
          <a:ext cx="888999" cy="8445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992</xdr:row>
      <xdr:rowOff>152401</xdr:rowOff>
    </xdr:from>
    <xdr:to>
      <xdr:col>0</xdr:col>
      <xdr:colOff>2643476</xdr:colOff>
      <xdr:row>1002</xdr:row>
      <xdr:rowOff>63501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6F7928-4138-8440-C533-4025A725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66700" y="189839601"/>
          <a:ext cx="2376776" cy="18161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1004</xdr:row>
      <xdr:rowOff>76200</xdr:rowOff>
    </xdr:from>
    <xdr:to>
      <xdr:col>0</xdr:col>
      <xdr:colOff>2831011</xdr:colOff>
      <xdr:row>1010</xdr:row>
      <xdr:rowOff>13983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8208CB6-5469-B9D7-5947-267D9738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8600" y="192049400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673100</xdr:colOff>
      <xdr:row>1012</xdr:row>
      <xdr:rowOff>114300</xdr:rowOff>
    </xdr:from>
    <xdr:to>
      <xdr:col>0</xdr:col>
      <xdr:colOff>2425216</xdr:colOff>
      <xdr:row>1018</xdr:row>
      <xdr:rowOff>132023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0FE4A4B-ED0A-4F56-8615-D5E95D99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73100" y="193611500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1024</xdr:row>
      <xdr:rowOff>38100</xdr:rowOff>
    </xdr:from>
    <xdr:to>
      <xdr:col>0</xdr:col>
      <xdr:colOff>2681576</xdr:colOff>
      <xdr:row>1033</xdr:row>
      <xdr:rowOff>139700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29BB3798-EE6E-45F4-B8DD-5A1781AF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4800" y="195821300"/>
          <a:ext cx="2376776" cy="18161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1035</xdr:row>
      <xdr:rowOff>152399</xdr:rowOff>
    </xdr:from>
    <xdr:to>
      <xdr:col>0</xdr:col>
      <xdr:colOff>2869111</xdr:colOff>
      <xdr:row>1041</xdr:row>
      <xdr:rowOff>90182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74BE4256-8FCB-4E4F-BA39-73DCAA882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66700" y="198031099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711200</xdr:colOff>
      <xdr:row>1043</xdr:row>
      <xdr:rowOff>190499</xdr:rowOff>
    </xdr:from>
    <xdr:to>
      <xdr:col>0</xdr:col>
      <xdr:colOff>2463316</xdr:colOff>
      <xdr:row>1050</xdr:row>
      <xdr:rowOff>17722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4656B7C-7045-4CE6-88C3-FF31527A3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11200" y="199593199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1058</xdr:row>
      <xdr:rowOff>165100</xdr:rowOff>
    </xdr:from>
    <xdr:to>
      <xdr:col>0</xdr:col>
      <xdr:colOff>2857500</xdr:colOff>
      <xdr:row>1063</xdr:row>
      <xdr:rowOff>107323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5F2551FA-406D-056F-EEBE-9580F59F1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92100" y="202425300"/>
          <a:ext cx="2565400" cy="89472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1063</xdr:row>
      <xdr:rowOff>190499</xdr:rowOff>
    </xdr:from>
    <xdr:to>
      <xdr:col>0</xdr:col>
      <xdr:colOff>2856411</xdr:colOff>
      <xdr:row>1069</xdr:row>
      <xdr:rowOff>128282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6C1215E-1EDC-4B27-8FF3-38E697FC8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4000" y="203403199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1070</xdr:row>
      <xdr:rowOff>76199</xdr:rowOff>
    </xdr:from>
    <xdr:to>
      <xdr:col>0</xdr:col>
      <xdr:colOff>2298216</xdr:colOff>
      <xdr:row>1076</xdr:row>
      <xdr:rowOff>93922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57DB2DE4-2DF2-4A72-9ECD-EA51FD0E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46100" y="204622399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1081</xdr:row>
      <xdr:rowOff>88900</xdr:rowOff>
    </xdr:from>
    <xdr:to>
      <xdr:col>0</xdr:col>
      <xdr:colOff>2794000</xdr:colOff>
      <xdr:row>1086</xdr:row>
      <xdr:rowOff>31123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6C621F05-68C8-4375-8AA0-D887043AA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28600" y="206730600"/>
          <a:ext cx="2565400" cy="89472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1086</xdr:row>
      <xdr:rowOff>114299</xdr:rowOff>
    </xdr:from>
    <xdr:to>
      <xdr:col>0</xdr:col>
      <xdr:colOff>2792911</xdr:colOff>
      <xdr:row>1092</xdr:row>
      <xdr:rowOff>52082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E186848-5D90-453D-AC36-5CCB8F644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0" y="207708499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1092</xdr:row>
      <xdr:rowOff>190499</xdr:rowOff>
    </xdr:from>
    <xdr:to>
      <xdr:col>0</xdr:col>
      <xdr:colOff>2234716</xdr:colOff>
      <xdr:row>1099</xdr:row>
      <xdr:rowOff>17722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7AFD3806-9986-4F59-A516-0A3F5133C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82600" y="208927699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1108</xdr:row>
      <xdr:rowOff>76200</xdr:rowOff>
    </xdr:from>
    <xdr:to>
      <xdr:col>0</xdr:col>
      <xdr:colOff>2875743</xdr:colOff>
      <xdr:row>1114</xdr:row>
      <xdr:rowOff>63290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B1F1B9A1-57C5-ABC6-1CA5-8759FF05B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6201" y="211861400"/>
          <a:ext cx="2799542" cy="113009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1115</xdr:row>
      <xdr:rowOff>190499</xdr:rowOff>
    </xdr:from>
    <xdr:to>
      <xdr:col>0</xdr:col>
      <xdr:colOff>2780211</xdr:colOff>
      <xdr:row>1121</xdr:row>
      <xdr:rowOff>128282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C0E354F-B6DB-4AEC-A792-38A9E390C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7800" y="213309199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1123</xdr:row>
      <xdr:rowOff>76199</xdr:rowOff>
    </xdr:from>
    <xdr:to>
      <xdr:col>0</xdr:col>
      <xdr:colOff>2272816</xdr:colOff>
      <xdr:row>1129</xdr:row>
      <xdr:rowOff>93922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6D0B051C-496D-4256-9073-3EECE41CC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0700" y="214718899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1141</xdr:row>
      <xdr:rowOff>152400</xdr:rowOff>
    </xdr:from>
    <xdr:to>
      <xdr:col>0</xdr:col>
      <xdr:colOff>2837643</xdr:colOff>
      <xdr:row>1147</xdr:row>
      <xdr:rowOff>139490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C4B37A8E-6A88-4EE5-ACBA-75587126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8101" y="218224100"/>
          <a:ext cx="2799542" cy="113009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1149</xdr:row>
      <xdr:rowOff>76199</xdr:rowOff>
    </xdr:from>
    <xdr:to>
      <xdr:col>0</xdr:col>
      <xdr:colOff>2742111</xdr:colOff>
      <xdr:row>1155</xdr:row>
      <xdr:rowOff>13982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2A415FD9-F578-49AA-A57B-ED98AAE56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9700" y="219671899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1156</xdr:row>
      <xdr:rowOff>152399</xdr:rowOff>
    </xdr:from>
    <xdr:to>
      <xdr:col>0</xdr:col>
      <xdr:colOff>2234716</xdr:colOff>
      <xdr:row>1162</xdr:row>
      <xdr:rowOff>170122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44DE78FE-E411-40E8-877E-C8C0E9001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82600" y="221081599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1174</xdr:row>
      <xdr:rowOff>12700</xdr:rowOff>
    </xdr:from>
    <xdr:to>
      <xdr:col>0</xdr:col>
      <xdr:colOff>2706976</xdr:colOff>
      <xdr:row>1183</xdr:row>
      <xdr:rowOff>114300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875C37DA-84C0-4211-9C76-98A4FF60E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30200" y="224370900"/>
          <a:ext cx="2376776" cy="18161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1185</xdr:row>
      <xdr:rowOff>126999</xdr:rowOff>
    </xdr:from>
    <xdr:to>
      <xdr:col>0</xdr:col>
      <xdr:colOff>2894511</xdr:colOff>
      <xdr:row>1191</xdr:row>
      <xdr:rowOff>64782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A769980-C2E9-4C67-9043-D55AABD12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92100" y="226580699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736600</xdr:colOff>
      <xdr:row>1193</xdr:row>
      <xdr:rowOff>165099</xdr:rowOff>
    </xdr:from>
    <xdr:to>
      <xdr:col>0</xdr:col>
      <xdr:colOff>2488716</xdr:colOff>
      <xdr:row>1199</xdr:row>
      <xdr:rowOff>182822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BE56713E-78EC-4537-83DE-92B5E06C5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36600" y="228142799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1227</xdr:row>
      <xdr:rowOff>88900</xdr:rowOff>
    </xdr:from>
    <xdr:to>
      <xdr:col>0</xdr:col>
      <xdr:colOff>2783176</xdr:colOff>
      <xdr:row>1237</xdr:row>
      <xdr:rowOff>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A9DFA42-722F-4146-A348-7452C2940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6400" y="234543600"/>
          <a:ext cx="2376776" cy="18161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1239</xdr:row>
      <xdr:rowOff>12699</xdr:rowOff>
    </xdr:from>
    <xdr:to>
      <xdr:col>0</xdr:col>
      <xdr:colOff>2970711</xdr:colOff>
      <xdr:row>1244</xdr:row>
      <xdr:rowOff>140982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3C0CE980-91E0-4B2A-919F-2BE5F61DE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68300" y="236753399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812800</xdr:colOff>
      <xdr:row>1247</xdr:row>
      <xdr:rowOff>50799</xdr:rowOff>
    </xdr:from>
    <xdr:to>
      <xdr:col>0</xdr:col>
      <xdr:colOff>2564916</xdr:colOff>
      <xdr:row>1253</xdr:row>
      <xdr:rowOff>68522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33271E6-853E-4451-A209-09FF0A411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2800" y="238315499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1280</xdr:row>
      <xdr:rowOff>177800</xdr:rowOff>
    </xdr:from>
    <xdr:to>
      <xdr:col>0</xdr:col>
      <xdr:colOff>2870200</xdr:colOff>
      <xdr:row>1285</xdr:row>
      <xdr:rowOff>120023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30385807-000D-4748-8295-C97294DFD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04800" y="244729000"/>
          <a:ext cx="2565400" cy="89472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1286</xdr:row>
      <xdr:rowOff>12699</xdr:rowOff>
    </xdr:from>
    <xdr:to>
      <xdr:col>0</xdr:col>
      <xdr:colOff>2869111</xdr:colOff>
      <xdr:row>1291</xdr:row>
      <xdr:rowOff>140982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7DAF87A9-DBF3-4DC7-9AD5-CBB0B59C2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66700" y="245706899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1292</xdr:row>
      <xdr:rowOff>88899</xdr:rowOff>
    </xdr:from>
    <xdr:to>
      <xdr:col>0</xdr:col>
      <xdr:colOff>2310916</xdr:colOff>
      <xdr:row>1298</xdr:row>
      <xdr:rowOff>106622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C19ABE04-CB3A-4552-A241-CA4C014C2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58800" y="246926099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1336</xdr:row>
      <xdr:rowOff>127000</xdr:rowOff>
    </xdr:from>
    <xdr:to>
      <xdr:col>0</xdr:col>
      <xdr:colOff>2819400</xdr:colOff>
      <xdr:row>1341</xdr:row>
      <xdr:rowOff>69223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CCAD606-8645-4886-B990-5D4D1A6E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4000" y="255346200"/>
          <a:ext cx="2565400" cy="894723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1341</xdr:row>
      <xdr:rowOff>152399</xdr:rowOff>
    </xdr:from>
    <xdr:to>
      <xdr:col>0</xdr:col>
      <xdr:colOff>2818311</xdr:colOff>
      <xdr:row>1347</xdr:row>
      <xdr:rowOff>90182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CB3EB8DE-3D88-49EC-8437-515358B2A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15900" y="256324099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1348</xdr:row>
      <xdr:rowOff>38099</xdr:rowOff>
    </xdr:from>
    <xdr:to>
      <xdr:col>0</xdr:col>
      <xdr:colOff>2260116</xdr:colOff>
      <xdr:row>1354</xdr:row>
      <xdr:rowOff>55822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2BFDAAE-2566-41EC-9AF8-5B4A5285D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08000" y="257543299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1388</xdr:row>
      <xdr:rowOff>139700</xdr:rowOff>
    </xdr:from>
    <xdr:to>
      <xdr:col>0</xdr:col>
      <xdr:colOff>2888442</xdr:colOff>
      <xdr:row>1394</xdr:row>
      <xdr:rowOff>126790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53422BCA-A5BA-4F7A-A247-A25B9B93A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8900" y="265264900"/>
          <a:ext cx="2799542" cy="11300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1396</xdr:row>
      <xdr:rowOff>63499</xdr:rowOff>
    </xdr:from>
    <xdr:to>
      <xdr:col>0</xdr:col>
      <xdr:colOff>2792910</xdr:colOff>
      <xdr:row>1402</xdr:row>
      <xdr:rowOff>1282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6B4B1B5F-107D-409C-B074-C91536EFC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499" y="266712699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1403</xdr:row>
      <xdr:rowOff>139699</xdr:rowOff>
    </xdr:from>
    <xdr:to>
      <xdr:col>0</xdr:col>
      <xdr:colOff>2285515</xdr:colOff>
      <xdr:row>1409</xdr:row>
      <xdr:rowOff>157422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A51C8339-2A31-4CA7-B519-3AC13329D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33399" y="268122399"/>
          <a:ext cx="1752116" cy="116072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1445</xdr:row>
      <xdr:rowOff>76200</xdr:rowOff>
    </xdr:from>
    <xdr:to>
      <xdr:col>0</xdr:col>
      <xdr:colOff>2951942</xdr:colOff>
      <xdr:row>1451</xdr:row>
      <xdr:rowOff>63290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C5B00989-DEDE-46E9-8368-AFF41D8E7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2400" y="276059900"/>
          <a:ext cx="2799542" cy="1130090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253999</xdr:colOff>
      <xdr:row>1452</xdr:row>
      <xdr:rowOff>190499</xdr:rowOff>
    </xdr:from>
    <xdr:to>
      <xdr:col>0</xdr:col>
      <xdr:colOff>2856410</xdr:colOff>
      <xdr:row>1458</xdr:row>
      <xdr:rowOff>128282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2A21A6F3-139D-46D5-A622-BD463EAD0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3999" y="277507699"/>
          <a:ext cx="2602411" cy="10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596899</xdr:colOff>
      <xdr:row>1460</xdr:row>
      <xdr:rowOff>76199</xdr:rowOff>
    </xdr:from>
    <xdr:to>
      <xdr:col>0</xdr:col>
      <xdr:colOff>2349015</xdr:colOff>
      <xdr:row>1466</xdr:row>
      <xdr:rowOff>93922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38137E9-E7F7-4D3C-8964-CE6F03DF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278917399"/>
          <a:ext cx="1752116" cy="11607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14</xdr:row>
      <xdr:rowOff>19050</xdr:rowOff>
    </xdr:from>
    <xdr:to>
      <xdr:col>0</xdr:col>
      <xdr:colOff>1819098</xdr:colOff>
      <xdr:row>19</xdr:row>
      <xdr:rowOff>152264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EC95E4-C4B5-4A46-86D4-AC06A9417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2019300"/>
          <a:ext cx="1419048" cy="1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102</xdr:row>
      <xdr:rowOff>85725</xdr:rowOff>
    </xdr:from>
    <xdr:to>
      <xdr:col>0</xdr:col>
      <xdr:colOff>1790505</xdr:colOff>
      <xdr:row>108</xdr:row>
      <xdr:rowOff>47487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090D59-5862-4240-8395-BC667B66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11058525"/>
          <a:ext cx="1561905" cy="1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68</xdr:row>
      <xdr:rowOff>57150</xdr:rowOff>
    </xdr:from>
    <xdr:to>
      <xdr:col>0</xdr:col>
      <xdr:colOff>2133344</xdr:colOff>
      <xdr:row>73</xdr:row>
      <xdr:rowOff>180840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CE42D5-1651-40D0-ACBC-99D99BF93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7600950"/>
          <a:ext cx="2047619" cy="10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160</xdr:row>
      <xdr:rowOff>76200</xdr:rowOff>
    </xdr:from>
    <xdr:to>
      <xdr:col>0</xdr:col>
      <xdr:colOff>1857198</xdr:colOff>
      <xdr:row>166</xdr:row>
      <xdr:rowOff>18914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D10AE7-4072-4862-B3C7-8628232C8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6554450"/>
          <a:ext cx="1419048" cy="1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242</xdr:row>
      <xdr:rowOff>76200</xdr:rowOff>
    </xdr:from>
    <xdr:to>
      <xdr:col>0</xdr:col>
      <xdr:colOff>1866705</xdr:colOff>
      <xdr:row>248</xdr:row>
      <xdr:rowOff>37962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AE20C0-4331-4C9F-881B-FC3F7CF3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" y="24955500"/>
          <a:ext cx="1561905" cy="1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196</xdr:row>
      <xdr:rowOff>47625</xdr:rowOff>
    </xdr:from>
    <xdr:to>
      <xdr:col>0</xdr:col>
      <xdr:colOff>2180969</xdr:colOff>
      <xdr:row>201</xdr:row>
      <xdr:rowOff>171315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55A1512-9C2D-4E0E-A721-4FB1D7861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20354925"/>
          <a:ext cx="2047619" cy="107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2</xdr:row>
      <xdr:rowOff>12700</xdr:rowOff>
    </xdr:from>
    <xdr:to>
      <xdr:col>0</xdr:col>
      <xdr:colOff>1308100</xdr:colOff>
      <xdr:row>7</xdr:row>
      <xdr:rowOff>181209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C83328-4A4D-463E-BD64-2D5C28B5A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901700"/>
          <a:ext cx="1219200" cy="112100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</xdr:row>
      <xdr:rowOff>12700</xdr:rowOff>
    </xdr:from>
    <xdr:to>
      <xdr:col>0</xdr:col>
      <xdr:colOff>1587500</xdr:colOff>
      <xdr:row>12</xdr:row>
      <xdr:rowOff>159995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D85C88-0D6A-4E43-9D8E-4FAAD8260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2044700"/>
          <a:ext cx="1473200" cy="90929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13</xdr:row>
      <xdr:rowOff>50800</xdr:rowOff>
    </xdr:from>
    <xdr:to>
      <xdr:col>0</xdr:col>
      <xdr:colOff>1526995</xdr:colOff>
      <xdr:row>18</xdr:row>
      <xdr:rowOff>164967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9CF9918-4F54-4876-8C5F-BE676B21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900" y="3035300"/>
          <a:ext cx="1438095" cy="1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19</xdr:row>
      <xdr:rowOff>50800</xdr:rowOff>
    </xdr:from>
    <xdr:to>
      <xdr:col>0</xdr:col>
      <xdr:colOff>1885719</xdr:colOff>
      <xdr:row>25</xdr:row>
      <xdr:rowOff>69705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6E3220F-E832-4581-B90F-95DAECC78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4178300"/>
          <a:ext cx="1847619" cy="11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26</xdr:row>
      <xdr:rowOff>63501</xdr:rowOff>
    </xdr:from>
    <xdr:to>
      <xdr:col>0</xdr:col>
      <xdr:colOff>1739901</xdr:colOff>
      <xdr:row>31</xdr:row>
      <xdr:rowOff>80593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8910A2-5D3F-4DE8-9FBE-C99138FA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901" y="5524501"/>
          <a:ext cx="1651000" cy="969592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32</xdr:row>
      <xdr:rowOff>25400</xdr:rowOff>
    </xdr:from>
    <xdr:to>
      <xdr:col>0</xdr:col>
      <xdr:colOff>1346200</xdr:colOff>
      <xdr:row>37</xdr:row>
      <xdr:rowOff>165453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FCBEF2A-5B4F-485F-8AB4-7630DA11F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6629400"/>
          <a:ext cx="1206500" cy="109255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</xdr:row>
      <xdr:rowOff>63501</xdr:rowOff>
    </xdr:from>
    <xdr:to>
      <xdr:col>0</xdr:col>
      <xdr:colOff>1511300</xdr:colOff>
      <xdr:row>42</xdr:row>
      <xdr:rowOff>141373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627F7A-53F3-4DD2-A7CE-F761B934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400" y="7810501"/>
          <a:ext cx="1485900" cy="839872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43</xdr:row>
      <xdr:rowOff>139700</xdr:rowOff>
    </xdr:from>
    <xdr:to>
      <xdr:col>0</xdr:col>
      <xdr:colOff>1165100</xdr:colOff>
      <xdr:row>48</xdr:row>
      <xdr:rowOff>44343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5E3814A-8739-4369-A87D-7F02884D9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5100" y="8839200"/>
          <a:ext cx="1000000" cy="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49</xdr:row>
      <xdr:rowOff>38100</xdr:rowOff>
    </xdr:from>
    <xdr:to>
      <xdr:col>0</xdr:col>
      <xdr:colOff>1266710</xdr:colOff>
      <xdr:row>53</xdr:row>
      <xdr:rowOff>180862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3672029-07A0-4B4D-A2EE-02C9720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2900" y="9880600"/>
          <a:ext cx="92381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54</xdr:row>
      <xdr:rowOff>152400</xdr:rowOff>
    </xdr:from>
    <xdr:to>
      <xdr:col>0</xdr:col>
      <xdr:colOff>1158762</xdr:colOff>
      <xdr:row>60</xdr:row>
      <xdr:rowOff>85590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E855785-F581-4822-96AE-4EB33FA02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4000" y="10947400"/>
          <a:ext cx="904762" cy="10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61</xdr:row>
      <xdr:rowOff>177800</xdr:rowOff>
    </xdr:from>
    <xdr:to>
      <xdr:col>0</xdr:col>
      <xdr:colOff>1320800</xdr:colOff>
      <xdr:row>67</xdr:row>
      <xdr:rowOff>40091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8A9CCC-B3AA-4880-A5D9-84AF568C1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4300" y="12306300"/>
          <a:ext cx="1206500" cy="1005291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68</xdr:row>
      <xdr:rowOff>139700</xdr:rowOff>
    </xdr:from>
    <xdr:to>
      <xdr:col>0</xdr:col>
      <xdr:colOff>1524000</xdr:colOff>
      <xdr:row>73</xdr:row>
      <xdr:rowOff>7438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DAE5C63-9908-43D0-AB21-73D988C54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3200" y="13601700"/>
          <a:ext cx="1320800" cy="820238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74</xdr:row>
      <xdr:rowOff>63500</xdr:rowOff>
    </xdr:from>
    <xdr:to>
      <xdr:col>0</xdr:col>
      <xdr:colOff>1431771</xdr:colOff>
      <xdr:row>79</xdr:row>
      <xdr:rowOff>82429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728CD14-FDA0-4718-929B-6E74AD994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3200" y="14668500"/>
          <a:ext cx="1228571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80</xdr:row>
      <xdr:rowOff>63500</xdr:rowOff>
    </xdr:from>
    <xdr:to>
      <xdr:col>0</xdr:col>
      <xdr:colOff>1104900</xdr:colOff>
      <xdr:row>87</xdr:row>
      <xdr:rowOff>82414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ABCF9F0-4310-42A0-BA39-6C0637129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0" y="15811500"/>
          <a:ext cx="977900" cy="1352414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84</xdr:row>
      <xdr:rowOff>63500</xdr:rowOff>
    </xdr:from>
    <xdr:to>
      <xdr:col>0</xdr:col>
      <xdr:colOff>2362200</xdr:colOff>
      <xdr:row>90</xdr:row>
      <xdr:rowOff>125283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208B067-3F89-464C-8460-FB70F02CB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09700" y="16573500"/>
          <a:ext cx="952500" cy="120478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93</xdr:row>
      <xdr:rowOff>25400</xdr:rowOff>
    </xdr:from>
    <xdr:to>
      <xdr:col>0</xdr:col>
      <xdr:colOff>1936514</xdr:colOff>
      <xdr:row>101</xdr:row>
      <xdr:rowOff>168067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2FC4E60-97AE-4CD8-8AAC-F692318A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800" y="18249900"/>
          <a:ext cx="1885714" cy="1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104</xdr:row>
      <xdr:rowOff>63501</xdr:rowOff>
    </xdr:from>
    <xdr:to>
      <xdr:col>0</xdr:col>
      <xdr:colOff>2050814</xdr:colOff>
      <xdr:row>111</xdr:row>
      <xdr:rowOff>127001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B03AE2-5A37-4F79-9FFF-1167F9FA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5100" y="20383501"/>
          <a:ext cx="1885714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189</xdr:row>
      <xdr:rowOff>76200</xdr:rowOff>
    </xdr:from>
    <xdr:to>
      <xdr:col>0</xdr:col>
      <xdr:colOff>1473201</xdr:colOff>
      <xdr:row>194</xdr:row>
      <xdr:rowOff>151910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0D3D44B-C3A7-40D6-A6DA-2A9EBB8E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901" y="36588700"/>
          <a:ext cx="1384300" cy="102821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1803400</xdr:colOff>
      <xdr:row>189</xdr:row>
      <xdr:rowOff>38100</xdr:rowOff>
    </xdr:from>
    <xdr:to>
      <xdr:col>0</xdr:col>
      <xdr:colOff>2849124</xdr:colOff>
      <xdr:row>194</xdr:row>
      <xdr:rowOff>177800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6A2922D-DB78-4EAE-91F8-0E6E58C7B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03400" y="36804600"/>
          <a:ext cx="1045724" cy="1092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1104900</xdr:colOff>
      <xdr:row>2</xdr:row>
      <xdr:rowOff>104775</xdr:rowOff>
    </xdr:from>
    <xdr:to>
      <xdr:col>0</xdr:col>
      <xdr:colOff>1971567</xdr:colOff>
      <xdr:row>4</xdr:row>
      <xdr:rowOff>323727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AF668F-BA9A-48E1-A268-3162144DB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657225"/>
          <a:ext cx="866667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6</xdr:row>
      <xdr:rowOff>133350</xdr:rowOff>
    </xdr:from>
    <xdr:to>
      <xdr:col>0</xdr:col>
      <xdr:colOff>2038248</xdr:colOff>
      <xdr:row>9</xdr:row>
      <xdr:rowOff>104636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48628C-3116-4D6F-8EE5-128F0F57D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828800"/>
          <a:ext cx="819048" cy="1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1019175</xdr:colOff>
      <xdr:row>26</xdr:row>
      <xdr:rowOff>123825</xdr:rowOff>
    </xdr:from>
    <xdr:to>
      <xdr:col>0</xdr:col>
      <xdr:colOff>1952508</xdr:colOff>
      <xdr:row>28</xdr:row>
      <xdr:rowOff>352301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71AB08-BB69-4C66-85D5-1ACD39C85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9175" y="6772275"/>
          <a:ext cx="933333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1019175</xdr:colOff>
      <xdr:row>31</xdr:row>
      <xdr:rowOff>133350</xdr:rowOff>
    </xdr:from>
    <xdr:to>
      <xdr:col>0</xdr:col>
      <xdr:colOff>2019175</xdr:colOff>
      <xdr:row>34</xdr:row>
      <xdr:rowOff>37969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B5EE16E-F75C-4A70-BADB-23FAEF1DE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9175" y="8115300"/>
          <a:ext cx="1000000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51</xdr:row>
      <xdr:rowOff>180975</xdr:rowOff>
    </xdr:from>
    <xdr:to>
      <xdr:col>0</xdr:col>
      <xdr:colOff>2019146</xdr:colOff>
      <xdr:row>54</xdr:row>
      <xdr:rowOff>85594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8160297-88BD-45FA-8B74-F0254966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0575" y="13115925"/>
          <a:ext cx="1228571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981075</xdr:colOff>
      <xdr:row>56</xdr:row>
      <xdr:rowOff>180975</xdr:rowOff>
    </xdr:from>
    <xdr:to>
      <xdr:col>0</xdr:col>
      <xdr:colOff>2028694</xdr:colOff>
      <xdr:row>59</xdr:row>
      <xdr:rowOff>180832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EF2FD3A-EA6A-4DFF-8FE4-B459F1B19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1075" y="14449425"/>
          <a:ext cx="1047619" cy="1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1790700</xdr:colOff>
      <xdr:row>61</xdr:row>
      <xdr:rowOff>137949</xdr:rowOff>
    </xdr:from>
    <xdr:to>
      <xdr:col>0</xdr:col>
      <xdr:colOff>2904998</xdr:colOff>
      <xdr:row>63</xdr:row>
      <xdr:rowOff>250725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5B6C669-FE40-4F61-BAA4-AC0FEF6DD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0700" y="15746249"/>
          <a:ext cx="1114298" cy="874776"/>
        </a:xfrm>
        <a:prstGeom prst="rect">
          <a:avLst/>
        </a:prstGeom>
      </xdr:spPr>
    </xdr:pic>
    <xdr:clientData/>
  </xdr:twoCellAnchor>
  <xdr:twoCellAnchor editAs="oneCell">
    <xdr:from>
      <xdr:col>0</xdr:col>
      <xdr:colOff>1917700</xdr:colOff>
      <xdr:row>65</xdr:row>
      <xdr:rowOff>155575</xdr:rowOff>
    </xdr:from>
    <xdr:to>
      <xdr:col>0</xdr:col>
      <xdr:colOff>2993890</xdr:colOff>
      <xdr:row>68</xdr:row>
      <xdr:rowOff>31623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48746B-4221-43B2-9890-A852DF6E6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17700" y="16906875"/>
          <a:ext cx="1076190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2111375</xdr:colOff>
      <xdr:row>36</xdr:row>
      <xdr:rowOff>165100</xdr:rowOff>
    </xdr:from>
    <xdr:to>
      <xdr:col>0</xdr:col>
      <xdr:colOff>2958994</xdr:colOff>
      <xdr:row>38</xdr:row>
      <xdr:rowOff>212624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4350D56-8943-445F-AF11-9D34D4E89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11375" y="9486900"/>
          <a:ext cx="847619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1901824</xdr:colOff>
      <xdr:row>42</xdr:row>
      <xdr:rowOff>23697</xdr:rowOff>
    </xdr:from>
    <xdr:to>
      <xdr:col>0</xdr:col>
      <xdr:colOff>2857499</xdr:colOff>
      <xdr:row>44</xdr:row>
      <xdr:rowOff>339610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37B7CB6-F1F0-41E5-8B1D-4CEB1094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1824" y="10869497"/>
          <a:ext cx="955675" cy="1077913"/>
        </a:xfrm>
        <a:prstGeom prst="rect">
          <a:avLst/>
        </a:prstGeom>
      </xdr:spPr>
    </xdr:pic>
    <xdr:clientData/>
  </xdr:twoCellAnchor>
  <xdr:twoCellAnchor editAs="oneCell">
    <xdr:from>
      <xdr:col>0</xdr:col>
      <xdr:colOff>2019300</xdr:colOff>
      <xdr:row>18</xdr:row>
      <xdr:rowOff>139700</xdr:rowOff>
    </xdr:from>
    <xdr:to>
      <xdr:col>0</xdr:col>
      <xdr:colOff>2752633</xdr:colOff>
      <xdr:row>20</xdr:row>
      <xdr:rowOff>330081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18D7538-C4C3-40D8-9481-1BB09F3D7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9300" y="4889500"/>
          <a:ext cx="733333" cy="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1879600</xdr:colOff>
      <xdr:row>13</xdr:row>
      <xdr:rowOff>22678</xdr:rowOff>
    </xdr:from>
    <xdr:to>
      <xdr:col>0</xdr:col>
      <xdr:colOff>2794000</xdr:colOff>
      <xdr:row>15</xdr:row>
      <xdr:rowOff>101506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15DD0B5-C411-4C75-8D24-A752CC69A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79600" y="3438978"/>
          <a:ext cx="914400" cy="84082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119</xdr:row>
      <xdr:rowOff>127000</xdr:rowOff>
    </xdr:from>
    <xdr:to>
      <xdr:col>0</xdr:col>
      <xdr:colOff>1253655</xdr:colOff>
      <xdr:row>124</xdr:row>
      <xdr:rowOff>101600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267A067-E345-40E1-87FE-BFCA2776E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4000" y="77025500"/>
          <a:ext cx="999655" cy="9271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1778000</xdr:colOff>
      <xdr:row>118</xdr:row>
      <xdr:rowOff>139700</xdr:rowOff>
    </xdr:from>
    <xdr:to>
      <xdr:col>0</xdr:col>
      <xdr:colOff>2933700</xdr:colOff>
      <xdr:row>124</xdr:row>
      <xdr:rowOff>42333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80832FE-8650-4480-88CD-50ED85782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78000" y="24015700"/>
          <a:ext cx="1155700" cy="1045633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165101</xdr:colOff>
      <xdr:row>129</xdr:row>
      <xdr:rowOff>127000</xdr:rowOff>
    </xdr:from>
    <xdr:to>
      <xdr:col>0</xdr:col>
      <xdr:colOff>1638301</xdr:colOff>
      <xdr:row>131</xdr:row>
      <xdr:rowOff>201891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7E98FC3-1F37-4C8D-838B-DF9A43E11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5101" y="25908000"/>
          <a:ext cx="1473200" cy="874991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133</xdr:row>
      <xdr:rowOff>215900</xdr:rowOff>
    </xdr:from>
    <xdr:to>
      <xdr:col>0</xdr:col>
      <xdr:colOff>1815890</xdr:colOff>
      <xdr:row>135</xdr:row>
      <xdr:rowOff>18957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F39FA3-B523-4F57-8F76-E86E6716A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9700" y="27711400"/>
          <a:ext cx="1676190" cy="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1778000</xdr:colOff>
      <xdr:row>130</xdr:row>
      <xdr:rowOff>114300</xdr:rowOff>
    </xdr:from>
    <xdr:to>
      <xdr:col>0</xdr:col>
      <xdr:colOff>3035143</xdr:colOff>
      <xdr:row>132</xdr:row>
      <xdr:rowOff>342762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51C9A20-BCD9-48E8-A5C4-7BFF34151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78000" y="26289000"/>
          <a:ext cx="1257143" cy="1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1854200</xdr:colOff>
      <xdr:row>134</xdr:row>
      <xdr:rowOff>165100</xdr:rowOff>
    </xdr:from>
    <xdr:to>
      <xdr:col>0</xdr:col>
      <xdr:colOff>3178010</xdr:colOff>
      <xdr:row>136</xdr:row>
      <xdr:rowOff>288805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61739AE-E5CB-4FDB-B6B7-772614BB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54200" y="28143200"/>
          <a:ext cx="132381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18</xdr:row>
      <xdr:rowOff>0</xdr:rowOff>
    </xdr:from>
    <xdr:to>
      <xdr:col>0</xdr:col>
      <xdr:colOff>1308100</xdr:colOff>
      <xdr:row>21</xdr:row>
      <xdr:rowOff>98777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13D8AD0-C234-420F-9238-7DA0F9D88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9100" y="4749800"/>
          <a:ext cx="889000" cy="1241777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42</xdr:row>
      <xdr:rowOff>38101</xdr:rowOff>
    </xdr:from>
    <xdr:to>
      <xdr:col>0</xdr:col>
      <xdr:colOff>1422401</xdr:colOff>
      <xdr:row>45</xdr:row>
      <xdr:rowOff>23813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A62B05C-356D-49F2-B31E-DAF48D019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9101" y="10883901"/>
          <a:ext cx="1003300" cy="112871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69</xdr:row>
      <xdr:rowOff>76200</xdr:rowOff>
    </xdr:from>
    <xdr:to>
      <xdr:col>0</xdr:col>
      <xdr:colOff>1422401</xdr:colOff>
      <xdr:row>71</xdr:row>
      <xdr:rowOff>300070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9D11705-A952-4249-981B-C1B8E30A8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42901" y="17589500"/>
          <a:ext cx="1079500" cy="98587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12</xdr:row>
      <xdr:rowOff>76201</xdr:rowOff>
    </xdr:from>
    <xdr:to>
      <xdr:col>0</xdr:col>
      <xdr:colOff>1294514</xdr:colOff>
      <xdr:row>14</xdr:row>
      <xdr:rowOff>304801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1B65AF1-F6A9-4A6F-8CBD-EB8EE16EC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19100" y="3302001"/>
          <a:ext cx="875414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36</xdr:row>
      <xdr:rowOff>139700</xdr:rowOff>
    </xdr:from>
    <xdr:to>
      <xdr:col>0</xdr:col>
      <xdr:colOff>1526317</xdr:colOff>
      <xdr:row>38</xdr:row>
      <xdr:rowOff>339557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3EF11BF9-91C8-48CD-8E00-5E53362F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82600" y="9461500"/>
          <a:ext cx="1043717" cy="96185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61</xdr:row>
      <xdr:rowOff>50801</xdr:rowOff>
    </xdr:from>
    <xdr:to>
      <xdr:col>0</xdr:col>
      <xdr:colOff>1480553</xdr:colOff>
      <xdr:row>63</xdr:row>
      <xdr:rowOff>304801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ABCA5E0-D8AE-4EA2-A733-C324EFBE0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0" y="15659101"/>
          <a:ext cx="1290053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63500</xdr:rowOff>
    </xdr:from>
    <xdr:to>
      <xdr:col>0</xdr:col>
      <xdr:colOff>853976</xdr:colOff>
      <xdr:row>82</xdr:row>
      <xdr:rowOff>720643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894B5B8-6F53-4F28-8515-433691E09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3500" y="24765000"/>
          <a:ext cx="790476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1206500</xdr:colOff>
      <xdr:row>82</xdr:row>
      <xdr:rowOff>25400</xdr:rowOff>
    </xdr:from>
    <xdr:to>
      <xdr:col>0</xdr:col>
      <xdr:colOff>1949357</xdr:colOff>
      <xdr:row>82</xdr:row>
      <xdr:rowOff>777781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633268B-0934-4045-8BF5-89F2D2867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06500" y="43345100"/>
          <a:ext cx="742857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2400300</xdr:colOff>
      <xdr:row>82</xdr:row>
      <xdr:rowOff>88900</xdr:rowOff>
    </xdr:from>
    <xdr:to>
      <xdr:col>0</xdr:col>
      <xdr:colOff>3152681</xdr:colOff>
      <xdr:row>82</xdr:row>
      <xdr:rowOff>736519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EC5CC79-9937-4E33-93EA-B0A592010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0300" y="24790400"/>
          <a:ext cx="752381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83</xdr:row>
      <xdr:rowOff>114300</xdr:rowOff>
    </xdr:from>
    <xdr:to>
      <xdr:col>0</xdr:col>
      <xdr:colOff>974643</xdr:colOff>
      <xdr:row>83</xdr:row>
      <xdr:rowOff>742871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039DA2C-F0B2-4D11-A81B-33442CE2C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17500" y="44234100"/>
          <a:ext cx="657143" cy="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83</xdr:row>
      <xdr:rowOff>88900</xdr:rowOff>
    </xdr:from>
    <xdr:to>
      <xdr:col>0</xdr:col>
      <xdr:colOff>1885867</xdr:colOff>
      <xdr:row>83</xdr:row>
      <xdr:rowOff>784138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99AA67-8C61-4646-ACA4-D945670FE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19200" y="44208700"/>
          <a:ext cx="666667" cy="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2133600</xdr:colOff>
      <xdr:row>83</xdr:row>
      <xdr:rowOff>38100</xdr:rowOff>
    </xdr:from>
    <xdr:to>
      <xdr:col>0</xdr:col>
      <xdr:colOff>2866933</xdr:colOff>
      <xdr:row>83</xdr:row>
      <xdr:rowOff>714290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E67CE3B-96F9-4FDC-A6A6-41B51C5F7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33600" y="44157900"/>
          <a:ext cx="733333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81</xdr:row>
      <xdr:rowOff>88900</xdr:rowOff>
    </xdr:from>
    <xdr:to>
      <xdr:col>0</xdr:col>
      <xdr:colOff>1905000</xdr:colOff>
      <xdr:row>81</xdr:row>
      <xdr:rowOff>827087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2BA5806-BE6D-4DCF-A5EC-9D58797E4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43000" y="24117300"/>
          <a:ext cx="762000" cy="738187"/>
        </a:xfrm>
        <a:prstGeom prst="rect">
          <a:avLst/>
        </a:prstGeom>
      </xdr:spPr>
    </xdr:pic>
    <xdr:clientData/>
  </xdr:twoCellAnchor>
  <xdr:twoCellAnchor editAs="oneCell">
    <xdr:from>
      <xdr:col>0</xdr:col>
      <xdr:colOff>1155700</xdr:colOff>
      <xdr:row>80</xdr:row>
      <xdr:rowOff>63500</xdr:rowOff>
    </xdr:from>
    <xdr:to>
      <xdr:col>0</xdr:col>
      <xdr:colOff>1993900</xdr:colOff>
      <xdr:row>80</xdr:row>
      <xdr:rowOff>781957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DCA68A1-A62D-457F-A052-A9C11CD2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55700" y="23253700"/>
          <a:ext cx="838200" cy="718457"/>
        </a:xfrm>
        <a:prstGeom prst="rect">
          <a:avLst/>
        </a:prstGeom>
      </xdr:spPr>
    </xdr:pic>
    <xdr:clientData/>
  </xdr:twoCellAnchor>
  <xdr:twoCellAnchor editAs="oneCell">
    <xdr:from>
      <xdr:col>0</xdr:col>
      <xdr:colOff>1155700</xdr:colOff>
      <xdr:row>78</xdr:row>
      <xdr:rowOff>38100</xdr:rowOff>
    </xdr:from>
    <xdr:to>
      <xdr:col>0</xdr:col>
      <xdr:colOff>1917605</xdr:colOff>
      <xdr:row>78</xdr:row>
      <xdr:rowOff>733338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F7DC244-5051-4566-954C-529218A59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55700" y="21437600"/>
          <a:ext cx="761905" cy="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1193800</xdr:colOff>
      <xdr:row>77</xdr:row>
      <xdr:rowOff>76200</xdr:rowOff>
    </xdr:from>
    <xdr:to>
      <xdr:col>0</xdr:col>
      <xdr:colOff>1974752</xdr:colOff>
      <xdr:row>78</xdr:row>
      <xdr:rowOff>3090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868B0BE-7395-4C76-81FA-DB1415A3C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93800" y="20802600"/>
          <a:ext cx="780952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1168400</xdr:colOff>
      <xdr:row>76</xdr:row>
      <xdr:rowOff>63501</xdr:rowOff>
    </xdr:from>
    <xdr:to>
      <xdr:col>0</xdr:col>
      <xdr:colOff>1917700</xdr:colOff>
      <xdr:row>76</xdr:row>
      <xdr:rowOff>777457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2B87562-6279-4021-8AEC-4FC7D975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68400" y="20066001"/>
          <a:ext cx="749300" cy="713956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1206500</xdr:colOff>
      <xdr:row>75</xdr:row>
      <xdr:rowOff>12700</xdr:rowOff>
    </xdr:from>
    <xdr:to>
      <xdr:col>0</xdr:col>
      <xdr:colOff>1901738</xdr:colOff>
      <xdr:row>75</xdr:row>
      <xdr:rowOff>765081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53CAE12-0B7C-40BA-8DEE-03FD6F351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06500" y="19304000"/>
          <a:ext cx="695238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79</xdr:row>
      <xdr:rowOff>63499</xdr:rowOff>
    </xdr:from>
    <xdr:to>
      <xdr:col>0</xdr:col>
      <xdr:colOff>1943100</xdr:colOff>
      <xdr:row>79</xdr:row>
      <xdr:rowOff>776262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A6A6053-B2B2-4316-93B7-AD2F3951B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19200" y="22542499"/>
          <a:ext cx="723900" cy="712763"/>
        </a:xfrm>
        <a:prstGeom prst="rect">
          <a:avLst/>
        </a:prstGeom>
      </xdr:spPr>
    </xdr:pic>
    <xdr:clientData/>
  </xdr:twoCellAnchor>
  <xdr:oneCellAnchor>
    <xdr:from>
      <xdr:col>0</xdr:col>
      <xdr:colOff>1270002</xdr:colOff>
      <xdr:row>85</xdr:row>
      <xdr:rowOff>114301</xdr:rowOff>
    </xdr:from>
    <xdr:ext cx="728486" cy="749300"/>
    <xdr:pic>
      <xdr:nvPicPr>
        <xdr:cNvPr id="52" name="Picture 51">
          <a:extLst>
            <a:ext uri="{FF2B5EF4-FFF2-40B4-BE49-F238E27FC236}">
              <a16:creationId xmlns:a16="http://schemas.microsoft.com/office/drawing/2014/main" id="{79099FF1-712A-4AAC-AB14-82E0D2DE4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70002" y="27698701"/>
          <a:ext cx="728486" cy="749300"/>
        </a:xfrm>
        <a:prstGeom prst="rect">
          <a:avLst/>
        </a:prstGeom>
      </xdr:spPr>
    </xdr:pic>
    <xdr:clientData/>
  </xdr:oneCellAnchor>
  <xdr:twoCellAnchor editAs="oneCell">
    <xdr:from>
      <xdr:col>0</xdr:col>
      <xdr:colOff>1079501</xdr:colOff>
      <xdr:row>87</xdr:row>
      <xdr:rowOff>25400</xdr:rowOff>
    </xdr:from>
    <xdr:to>
      <xdr:col>0</xdr:col>
      <xdr:colOff>2047319</xdr:colOff>
      <xdr:row>87</xdr:row>
      <xdr:rowOff>863600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B72A45A-F1C7-4844-8DB5-25EA1C776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9501" y="29438600"/>
          <a:ext cx="967818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1270000</xdr:colOff>
      <xdr:row>84</xdr:row>
      <xdr:rowOff>127000</xdr:rowOff>
    </xdr:from>
    <xdr:to>
      <xdr:col>0</xdr:col>
      <xdr:colOff>1955714</xdr:colOff>
      <xdr:row>84</xdr:row>
      <xdr:rowOff>803190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97046BD-AF31-4EEB-B98F-A5A918387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70000" y="26797000"/>
          <a:ext cx="685714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1130300</xdr:colOff>
      <xdr:row>86</xdr:row>
      <xdr:rowOff>101600</xdr:rowOff>
    </xdr:from>
    <xdr:to>
      <xdr:col>0</xdr:col>
      <xdr:colOff>1854110</xdr:colOff>
      <xdr:row>86</xdr:row>
      <xdr:rowOff>806362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68FCF1AC-C781-437D-AADC-C026223C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30300" y="28600400"/>
          <a:ext cx="723810" cy="704762"/>
        </a:xfrm>
        <a:prstGeom prst="rect">
          <a:avLst/>
        </a:prstGeom>
      </xdr:spPr>
    </xdr:pic>
    <xdr:clientData/>
  </xdr:twoCellAnchor>
  <xdr:oneCellAnchor>
    <xdr:from>
      <xdr:col>0</xdr:col>
      <xdr:colOff>787400</xdr:colOff>
      <xdr:row>105</xdr:row>
      <xdr:rowOff>25400</xdr:rowOff>
    </xdr:from>
    <xdr:ext cx="1590476" cy="838095"/>
    <xdr:pic>
      <xdr:nvPicPr>
        <xdr:cNvPr id="59" name="Picture 58">
          <a:extLst>
            <a:ext uri="{FF2B5EF4-FFF2-40B4-BE49-F238E27FC236}">
              <a16:creationId xmlns:a16="http://schemas.microsoft.com/office/drawing/2014/main" id="{181F4DDB-271F-4BBE-BD40-B7AF5526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7400" y="36207700"/>
          <a:ext cx="1590476" cy="838095"/>
        </a:xfrm>
        <a:prstGeom prst="rect">
          <a:avLst/>
        </a:prstGeom>
      </xdr:spPr>
    </xdr:pic>
    <xdr:clientData/>
  </xdr:oneCellAnchor>
  <xdr:twoCellAnchor editAs="oneCell">
    <xdr:from>
      <xdr:col>0</xdr:col>
      <xdr:colOff>1104900</xdr:colOff>
      <xdr:row>93</xdr:row>
      <xdr:rowOff>104867</xdr:rowOff>
    </xdr:from>
    <xdr:to>
      <xdr:col>0</xdr:col>
      <xdr:colOff>2133471</xdr:colOff>
      <xdr:row>94</xdr:row>
      <xdr:rowOff>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80FB4D2-98D4-4B71-A202-883B37B81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04900" y="36376067"/>
          <a:ext cx="1028571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825667</xdr:colOff>
      <xdr:row>106</xdr:row>
      <xdr:rowOff>146148</xdr:rowOff>
    </xdr:from>
    <xdr:to>
      <xdr:col>0</xdr:col>
      <xdr:colOff>2159000</xdr:colOff>
      <xdr:row>107</xdr:row>
      <xdr:rowOff>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E052D42-3A54-44EA-8531-93E7F75A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25667" y="46640848"/>
          <a:ext cx="1333333" cy="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1035181</xdr:colOff>
      <xdr:row>103</xdr:row>
      <xdr:rowOff>79467</xdr:rowOff>
    </xdr:from>
    <xdr:to>
      <xdr:col>0</xdr:col>
      <xdr:colOff>2082800</xdr:colOff>
      <xdr:row>103</xdr:row>
      <xdr:rowOff>812800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50687741-5E58-492C-BA38-6EC81899F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35181" y="45037467"/>
          <a:ext cx="1047619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1190733</xdr:colOff>
      <xdr:row>90</xdr:row>
      <xdr:rowOff>9610</xdr:rowOff>
    </xdr:from>
    <xdr:to>
      <xdr:col>0</xdr:col>
      <xdr:colOff>2057400</xdr:colOff>
      <xdr:row>91</xdr:row>
      <xdr:rowOff>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782DF082-FA17-4E82-955E-C25D75CC9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90733" y="34502810"/>
          <a:ext cx="866667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1041400</xdr:colOff>
      <xdr:row>91</xdr:row>
      <xdr:rowOff>117552</xdr:rowOff>
    </xdr:from>
    <xdr:to>
      <xdr:col>0</xdr:col>
      <xdr:colOff>1984257</xdr:colOff>
      <xdr:row>92</xdr:row>
      <xdr:rowOff>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A0B3537-8AC4-4AD2-BEDE-5F96FF448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41400" y="34979052"/>
          <a:ext cx="942857" cy="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104</xdr:row>
      <xdr:rowOff>184224</xdr:rowOff>
    </xdr:from>
    <xdr:to>
      <xdr:col>0</xdr:col>
      <xdr:colOff>1498452</xdr:colOff>
      <xdr:row>104</xdr:row>
      <xdr:rowOff>774700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A299DC11-B19B-4B24-82C8-8734C8634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0" y="62299924"/>
          <a:ext cx="1180952" cy="5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1800076</xdr:colOff>
      <xdr:row>104</xdr:row>
      <xdr:rowOff>203276</xdr:rowOff>
    </xdr:from>
    <xdr:to>
      <xdr:col>0</xdr:col>
      <xdr:colOff>2990552</xdr:colOff>
      <xdr:row>104</xdr:row>
      <xdr:rowOff>812800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E60746C8-E19A-43DE-B597-EFACE5068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800076" y="62318976"/>
          <a:ext cx="1190476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1118794</xdr:colOff>
      <xdr:row>89</xdr:row>
      <xdr:rowOff>63500</xdr:rowOff>
    </xdr:from>
    <xdr:to>
      <xdr:col>0</xdr:col>
      <xdr:colOff>2019300</xdr:colOff>
      <xdr:row>89</xdr:row>
      <xdr:rowOff>838200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39A79ED-0DC8-4F06-96B1-0F1EEAEBB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18794" y="33655000"/>
          <a:ext cx="900506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102</xdr:row>
      <xdr:rowOff>76200</xdr:rowOff>
    </xdr:from>
    <xdr:to>
      <xdr:col>0</xdr:col>
      <xdr:colOff>2138749</xdr:colOff>
      <xdr:row>102</xdr:row>
      <xdr:rowOff>990600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5EFBB875-18D2-4ACA-90F9-2E9D408B8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00" y="44005500"/>
          <a:ext cx="118624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912447</xdr:colOff>
      <xdr:row>110</xdr:row>
      <xdr:rowOff>50800</xdr:rowOff>
    </xdr:from>
    <xdr:to>
      <xdr:col>0</xdr:col>
      <xdr:colOff>2133600</xdr:colOff>
      <xdr:row>110</xdr:row>
      <xdr:rowOff>1003300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B712D9B-410A-428F-8411-872C2DC9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12447" y="67627500"/>
          <a:ext cx="1221153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1143001</xdr:colOff>
      <xdr:row>97</xdr:row>
      <xdr:rowOff>50801</xdr:rowOff>
    </xdr:from>
    <xdr:to>
      <xdr:col>0</xdr:col>
      <xdr:colOff>2082801</xdr:colOff>
      <xdr:row>97</xdr:row>
      <xdr:rowOff>898045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FAD987F-B4B3-4034-94BF-9AC5442B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43001" y="40093901"/>
          <a:ext cx="939800" cy="847244"/>
        </a:xfrm>
        <a:prstGeom prst="rect">
          <a:avLst/>
        </a:prstGeom>
      </xdr:spPr>
    </xdr:pic>
    <xdr:clientData/>
  </xdr:twoCellAnchor>
  <xdr:twoCellAnchor editAs="oneCell">
    <xdr:from>
      <xdr:col>0</xdr:col>
      <xdr:colOff>1117600</xdr:colOff>
      <xdr:row>88</xdr:row>
      <xdr:rowOff>114300</xdr:rowOff>
    </xdr:from>
    <xdr:to>
      <xdr:col>0</xdr:col>
      <xdr:colOff>2099534</xdr:colOff>
      <xdr:row>88</xdr:row>
      <xdr:rowOff>901700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6CD977C9-2A97-4222-96A7-1554A2E04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17600" y="32727900"/>
          <a:ext cx="981934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1041400</xdr:colOff>
      <xdr:row>101</xdr:row>
      <xdr:rowOff>88900</xdr:rowOff>
    </xdr:from>
    <xdr:to>
      <xdr:col>0</xdr:col>
      <xdr:colOff>2193781</xdr:colOff>
      <xdr:row>101</xdr:row>
      <xdr:rowOff>936519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DF705D75-A2A4-4A2A-A505-122D3C2A4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41400" y="43040300"/>
          <a:ext cx="1152381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1422538</xdr:colOff>
      <xdr:row>109</xdr:row>
      <xdr:rowOff>85829</xdr:rowOff>
    </xdr:from>
    <xdr:to>
      <xdr:col>0</xdr:col>
      <xdr:colOff>2527300</xdr:colOff>
      <xdr:row>110</xdr:row>
      <xdr:rowOff>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CC37BCAE-5C5F-4EFF-8329-49B0572AB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22538" y="50276229"/>
          <a:ext cx="1104762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1197090</xdr:colOff>
      <xdr:row>96</xdr:row>
      <xdr:rowOff>92167</xdr:rowOff>
    </xdr:from>
    <xdr:to>
      <xdr:col>0</xdr:col>
      <xdr:colOff>2120900</xdr:colOff>
      <xdr:row>96</xdr:row>
      <xdr:rowOff>825500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C812E0A-99A4-4A11-A3A5-E07ED2F63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97090" y="55514967"/>
          <a:ext cx="923810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431801</xdr:colOff>
      <xdr:row>94</xdr:row>
      <xdr:rowOff>88900</xdr:rowOff>
    </xdr:from>
    <xdr:to>
      <xdr:col>0</xdr:col>
      <xdr:colOff>1435101</xdr:colOff>
      <xdr:row>94</xdr:row>
      <xdr:rowOff>898285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CBCAA8C-515D-45BB-8D88-616770C1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31801" y="53467000"/>
          <a:ext cx="1003300" cy="809385"/>
        </a:xfrm>
        <a:prstGeom prst="rect">
          <a:avLst/>
        </a:prstGeom>
      </xdr:spPr>
    </xdr:pic>
    <xdr:clientData/>
  </xdr:twoCellAnchor>
  <xdr:twoCellAnchor editAs="oneCell">
    <xdr:from>
      <xdr:col>0</xdr:col>
      <xdr:colOff>1701801</xdr:colOff>
      <xdr:row>94</xdr:row>
      <xdr:rowOff>50800</xdr:rowOff>
    </xdr:from>
    <xdr:to>
      <xdr:col>0</xdr:col>
      <xdr:colOff>2717801</xdr:colOff>
      <xdr:row>94</xdr:row>
      <xdr:rowOff>860295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EA0EF7DC-1103-47E2-9B9B-59B2F558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01801" y="53428900"/>
          <a:ext cx="1016000" cy="80949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107</xdr:row>
      <xdr:rowOff>76200</xdr:rowOff>
    </xdr:from>
    <xdr:to>
      <xdr:col>0</xdr:col>
      <xdr:colOff>1343440</xdr:colOff>
      <xdr:row>107</xdr:row>
      <xdr:rowOff>901700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10E93FDE-D3FB-4CBB-A950-FD15C34A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66701" y="48552100"/>
          <a:ext cx="107673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1752600</xdr:colOff>
      <xdr:row>107</xdr:row>
      <xdr:rowOff>152401</xdr:rowOff>
    </xdr:from>
    <xdr:to>
      <xdr:col>0</xdr:col>
      <xdr:colOff>2804885</xdr:colOff>
      <xdr:row>107</xdr:row>
      <xdr:rowOff>889001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61982AEE-EBB0-48D0-BA64-777B92ECB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48628301"/>
          <a:ext cx="1052285" cy="736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1257300</xdr:colOff>
      <xdr:row>98</xdr:row>
      <xdr:rowOff>139700</xdr:rowOff>
    </xdr:from>
    <xdr:to>
      <xdr:col>0</xdr:col>
      <xdr:colOff>2190633</xdr:colOff>
      <xdr:row>98</xdr:row>
      <xdr:rowOff>873033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2741C6F9-47E1-4A47-BB51-E54183A86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257300" y="57416700"/>
          <a:ext cx="933333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111</xdr:row>
      <xdr:rowOff>63500</xdr:rowOff>
    </xdr:from>
    <xdr:to>
      <xdr:col>0</xdr:col>
      <xdr:colOff>2019300</xdr:colOff>
      <xdr:row>112</xdr:row>
      <xdr:rowOff>4233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86CB1C2F-7F4D-47E9-A141-9F3385E17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028700" y="68681600"/>
          <a:ext cx="990600" cy="728133"/>
        </a:xfrm>
        <a:prstGeom prst="rect">
          <a:avLst/>
        </a:prstGeom>
      </xdr:spPr>
    </xdr:pic>
    <xdr:clientData/>
  </xdr:twoCellAnchor>
  <xdr:twoCellAnchor editAs="oneCell">
    <xdr:from>
      <xdr:col>0</xdr:col>
      <xdr:colOff>736600</xdr:colOff>
      <xdr:row>95</xdr:row>
      <xdr:rowOff>203200</xdr:rowOff>
    </xdr:from>
    <xdr:to>
      <xdr:col>0</xdr:col>
      <xdr:colOff>1555648</xdr:colOff>
      <xdr:row>95</xdr:row>
      <xdr:rowOff>860343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55302359-DBF8-482A-AA2F-12EE8F5BA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36600" y="54584600"/>
          <a:ext cx="819048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1854200</xdr:colOff>
      <xdr:row>95</xdr:row>
      <xdr:rowOff>190500</xdr:rowOff>
    </xdr:from>
    <xdr:to>
      <xdr:col>0</xdr:col>
      <xdr:colOff>2711343</xdr:colOff>
      <xdr:row>95</xdr:row>
      <xdr:rowOff>876214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91C5C92C-EB62-47D6-BB5E-2105E8759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854200" y="54571900"/>
          <a:ext cx="857143" cy="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108</xdr:row>
      <xdr:rowOff>88900</xdr:rowOff>
    </xdr:from>
    <xdr:to>
      <xdr:col>0</xdr:col>
      <xdr:colOff>1406386</xdr:colOff>
      <xdr:row>108</xdr:row>
      <xdr:rowOff>793662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8D58740-D97D-4348-8D2F-5A418F00D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92100" y="65824100"/>
          <a:ext cx="1114286" cy="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1790700</xdr:colOff>
      <xdr:row>108</xdr:row>
      <xdr:rowOff>88900</xdr:rowOff>
    </xdr:from>
    <xdr:to>
      <xdr:col>0</xdr:col>
      <xdr:colOff>2885938</xdr:colOff>
      <xdr:row>108</xdr:row>
      <xdr:rowOff>822233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EFDAB42-FC24-4B6B-9813-1E0E315B7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90700" y="65824100"/>
          <a:ext cx="1095238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1041400</xdr:colOff>
      <xdr:row>115</xdr:row>
      <xdr:rowOff>139700</xdr:rowOff>
    </xdr:from>
    <xdr:to>
      <xdr:col>0</xdr:col>
      <xdr:colOff>1912408</xdr:colOff>
      <xdr:row>115</xdr:row>
      <xdr:rowOff>1136376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B94BC8E-EEE3-467D-82E4-952F4E2C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041400" y="74269600"/>
          <a:ext cx="871008" cy="996676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1028701</xdr:colOff>
      <xdr:row>116</xdr:row>
      <xdr:rowOff>95250</xdr:rowOff>
    </xdr:from>
    <xdr:to>
      <xdr:col>0</xdr:col>
      <xdr:colOff>1848890</xdr:colOff>
      <xdr:row>116</xdr:row>
      <xdr:rowOff>1035050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6FC27BB-C976-4796-8DAF-888032C2D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028701" y="71024750"/>
          <a:ext cx="820189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1092200</xdr:colOff>
      <xdr:row>114</xdr:row>
      <xdr:rowOff>25401</xdr:rowOff>
    </xdr:from>
    <xdr:to>
      <xdr:col>0</xdr:col>
      <xdr:colOff>1927945</xdr:colOff>
      <xdr:row>114</xdr:row>
      <xdr:rowOff>1066801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5E4DAA3E-DC7C-4151-BF43-38DA4156B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092200" y="73037701"/>
          <a:ext cx="835745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113</xdr:row>
      <xdr:rowOff>76828</xdr:rowOff>
    </xdr:from>
    <xdr:to>
      <xdr:col>0</xdr:col>
      <xdr:colOff>2120900</xdr:colOff>
      <xdr:row>113</xdr:row>
      <xdr:rowOff>1141251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9066A915-1D03-4F47-A323-8025CD794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90600" y="71844528"/>
          <a:ext cx="1130300" cy="1064423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1079500</xdr:colOff>
      <xdr:row>112</xdr:row>
      <xdr:rowOff>114300</xdr:rowOff>
    </xdr:from>
    <xdr:to>
      <xdr:col>0</xdr:col>
      <xdr:colOff>2159000</xdr:colOff>
      <xdr:row>112</xdr:row>
      <xdr:rowOff>1106905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E094080-8C7F-45E9-997C-A3370D7B5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079500" y="70637400"/>
          <a:ext cx="1079500" cy="99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965200</xdr:colOff>
      <xdr:row>100</xdr:row>
      <xdr:rowOff>88901</xdr:rowOff>
    </xdr:from>
    <xdr:to>
      <xdr:col>0</xdr:col>
      <xdr:colOff>1905682</xdr:colOff>
      <xdr:row>100</xdr:row>
      <xdr:rowOff>990601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3B3794F3-F423-4D1F-8A7C-86718DF7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65200" y="59207401"/>
          <a:ext cx="940482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1016000</xdr:colOff>
      <xdr:row>99</xdr:row>
      <xdr:rowOff>88901</xdr:rowOff>
    </xdr:from>
    <xdr:to>
      <xdr:col>0</xdr:col>
      <xdr:colOff>1989078</xdr:colOff>
      <xdr:row>99</xdr:row>
      <xdr:rowOff>1003301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43D26C00-3A67-4C44-ACA5-041928BF6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016000" y="58318401"/>
          <a:ext cx="973078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1104900</xdr:colOff>
      <xdr:row>92</xdr:row>
      <xdr:rowOff>76200</xdr:rowOff>
    </xdr:from>
    <xdr:to>
      <xdr:col>0</xdr:col>
      <xdr:colOff>2076329</xdr:colOff>
      <xdr:row>92</xdr:row>
      <xdr:rowOff>714295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5AE8B05-FA2A-4F73-A259-C6F87E9B8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104900" y="51943000"/>
          <a:ext cx="971429" cy="6380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114300</xdr:rowOff>
    </xdr:from>
    <xdr:to>
      <xdr:col>0</xdr:col>
      <xdr:colOff>1123832</xdr:colOff>
      <xdr:row>8</xdr:row>
      <xdr:rowOff>18895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B530AB-6B55-47F9-A1B1-E3C684953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676275"/>
          <a:ext cx="942857" cy="1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1</xdr:row>
      <xdr:rowOff>95250</xdr:rowOff>
    </xdr:from>
    <xdr:to>
      <xdr:col>0</xdr:col>
      <xdr:colOff>2285865</xdr:colOff>
      <xdr:row>8</xdr:row>
      <xdr:rowOff>28417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57C05-66B8-49C8-99E6-E49C0A5FA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675" y="657225"/>
          <a:ext cx="1076190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666751</xdr:colOff>
      <xdr:row>9</xdr:row>
      <xdr:rowOff>19050</xdr:rowOff>
    </xdr:from>
    <xdr:to>
      <xdr:col>0</xdr:col>
      <xdr:colOff>1723749</xdr:colOff>
      <xdr:row>12</xdr:row>
      <xdr:rowOff>237954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621B4B-059F-4CCD-BF09-07934F16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1" y="2105025"/>
          <a:ext cx="1056998" cy="1247604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13</xdr:row>
      <xdr:rowOff>66675</xdr:rowOff>
    </xdr:from>
    <xdr:to>
      <xdr:col>0</xdr:col>
      <xdr:colOff>1118731</xdr:colOff>
      <xdr:row>14</xdr:row>
      <xdr:rowOff>476250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12D790A-7E7E-447D-ADDC-7CDAEBA36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0050" y="3467100"/>
          <a:ext cx="718681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1352552</xdr:colOff>
      <xdr:row>13</xdr:row>
      <xdr:rowOff>114300</xdr:rowOff>
    </xdr:from>
    <xdr:to>
      <xdr:col>0</xdr:col>
      <xdr:colOff>2181226</xdr:colOff>
      <xdr:row>14</xdr:row>
      <xdr:rowOff>489364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1708BE-7B79-4693-8402-C3CF4DB29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2552" y="3514725"/>
          <a:ext cx="828674" cy="93703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15</xdr:row>
      <xdr:rowOff>55624</xdr:rowOff>
    </xdr:from>
    <xdr:to>
      <xdr:col>0</xdr:col>
      <xdr:colOff>1076325</xdr:colOff>
      <xdr:row>18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0EB3B12-2E84-4377-B8A9-FF02D587D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2901" y="4637149"/>
          <a:ext cx="733424" cy="906401"/>
        </a:xfrm>
        <a:prstGeom prst="rect">
          <a:avLst/>
        </a:prstGeom>
      </xdr:spPr>
    </xdr:pic>
    <xdr:clientData/>
  </xdr:twoCellAnchor>
  <xdr:twoCellAnchor editAs="oneCell">
    <xdr:from>
      <xdr:col>0</xdr:col>
      <xdr:colOff>1390650</xdr:colOff>
      <xdr:row>15</xdr:row>
      <xdr:rowOff>133350</xdr:rowOff>
    </xdr:from>
    <xdr:to>
      <xdr:col>0</xdr:col>
      <xdr:colOff>2038350</xdr:colOff>
      <xdr:row>18</xdr:row>
      <xdr:rowOff>122634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108E98-B3BA-422D-8B52-0D1958445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90650" y="4714875"/>
          <a:ext cx="647700" cy="78938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19</xdr:row>
      <xdr:rowOff>116007</xdr:rowOff>
    </xdr:from>
    <xdr:to>
      <xdr:col>0</xdr:col>
      <xdr:colOff>1104900</xdr:colOff>
      <xdr:row>22</xdr:row>
      <xdr:rowOff>77978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686725-E5B8-4E69-BA10-E297DAFD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175" y="5773857"/>
          <a:ext cx="847725" cy="828746"/>
        </a:xfrm>
        <a:prstGeom prst="rect">
          <a:avLst/>
        </a:prstGeom>
      </xdr:spPr>
    </xdr:pic>
    <xdr:clientData/>
  </xdr:twoCellAnchor>
  <xdr:twoCellAnchor editAs="oneCell">
    <xdr:from>
      <xdr:col>0</xdr:col>
      <xdr:colOff>1419226</xdr:colOff>
      <xdr:row>19</xdr:row>
      <xdr:rowOff>76200</xdr:rowOff>
    </xdr:from>
    <xdr:to>
      <xdr:col>0</xdr:col>
      <xdr:colOff>2103004</xdr:colOff>
      <xdr:row>22</xdr:row>
      <xdr:rowOff>85724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7FE6CFF-C7CC-4F66-B1E8-AA35F49F9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9226" y="5734050"/>
          <a:ext cx="683778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23</xdr:row>
      <xdr:rowOff>152401</xdr:rowOff>
    </xdr:from>
    <xdr:to>
      <xdr:col>0</xdr:col>
      <xdr:colOff>1076177</xdr:colOff>
      <xdr:row>24</xdr:row>
      <xdr:rowOff>485776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42D7CE3-48D8-4610-9973-10E22FC4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751" y="6924676"/>
          <a:ext cx="790426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1266825</xdr:colOff>
      <xdr:row>23</xdr:row>
      <xdr:rowOff>123825</xdr:rowOff>
    </xdr:from>
    <xdr:to>
      <xdr:col>0</xdr:col>
      <xdr:colOff>2200275</xdr:colOff>
      <xdr:row>24</xdr:row>
      <xdr:rowOff>516199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ECB4292-190C-46EA-886D-67FA1AA6F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66825" y="6896100"/>
          <a:ext cx="933450" cy="9543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</xdr:row>
      <xdr:rowOff>28576</xdr:rowOff>
    </xdr:from>
    <xdr:to>
      <xdr:col>0</xdr:col>
      <xdr:colOff>3248025</xdr:colOff>
      <xdr:row>1</xdr:row>
      <xdr:rowOff>1829240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4AADF0-EFAD-4FBE-955B-C83EDB91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428626"/>
          <a:ext cx="2828925" cy="1800664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2</xdr:row>
      <xdr:rowOff>28575</xdr:rowOff>
    </xdr:from>
    <xdr:to>
      <xdr:col>0</xdr:col>
      <xdr:colOff>2276475</xdr:colOff>
      <xdr:row>2</xdr:row>
      <xdr:rowOff>1503414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925E0C-6E8F-46B6-A6B3-EC8D7B19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" y="2314575"/>
          <a:ext cx="1190625" cy="14748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1486"/>
  <sheetViews>
    <sheetView topLeftCell="A1438" zoomScale="75" zoomScaleNormal="75" workbookViewId="0">
      <selection activeCell="A1456" sqref="A1456"/>
    </sheetView>
  </sheetViews>
  <sheetFormatPr defaultRowHeight="15" x14ac:dyDescent="0.25"/>
  <cols>
    <col min="1" max="1" width="45.5703125" customWidth="1"/>
    <col min="2" max="2" width="28.85546875" customWidth="1"/>
    <col min="3" max="3" width="104" customWidth="1"/>
    <col min="4" max="4" width="21.7109375" customWidth="1"/>
    <col min="5" max="5" width="49.5703125" customWidth="1"/>
    <col min="6" max="6" width="120.140625" customWidth="1"/>
    <col min="7" max="8" width="22.7109375" hidden="1" customWidth="1"/>
    <col min="9" max="9" width="0.140625" hidden="1" customWidth="1"/>
    <col min="10" max="11" width="22.7109375" customWidth="1"/>
    <col min="12" max="12" width="25.5703125" customWidth="1"/>
    <col min="15" max="15" width="15.5703125" customWidth="1"/>
    <col min="17" max="17" width="16.140625" customWidth="1"/>
  </cols>
  <sheetData>
    <row r="1" spans="1:13" ht="67.5" customHeight="1" x14ac:dyDescent="0.25">
      <c r="A1" s="5"/>
      <c r="B1" s="12" t="s">
        <v>3</v>
      </c>
      <c r="C1" s="12" t="s">
        <v>0</v>
      </c>
      <c r="D1" s="12" t="s">
        <v>4</v>
      </c>
      <c r="E1" s="13" t="s">
        <v>1</v>
      </c>
      <c r="F1" s="12" t="s">
        <v>2</v>
      </c>
      <c r="G1" s="12" t="s">
        <v>3213</v>
      </c>
      <c r="H1" s="12" t="s">
        <v>3201</v>
      </c>
      <c r="I1" s="12" t="s">
        <v>3202</v>
      </c>
      <c r="J1" s="12" t="s">
        <v>3214</v>
      </c>
      <c r="K1" s="33" t="s">
        <v>3244</v>
      </c>
      <c r="L1" s="12" t="s">
        <v>3215</v>
      </c>
    </row>
    <row r="2" spans="1:13" s="62" customFormat="1" ht="16.5" customHeight="1" x14ac:dyDescent="0.25">
      <c r="A2" s="60" t="s">
        <v>4023</v>
      </c>
      <c r="B2" s="71" t="s">
        <v>2864</v>
      </c>
      <c r="C2" s="71"/>
      <c r="D2" s="71"/>
      <c r="E2" s="71"/>
      <c r="F2" s="71"/>
      <c r="G2" s="71"/>
      <c r="H2" s="71"/>
      <c r="I2" s="71"/>
      <c r="J2" s="71"/>
      <c r="K2" s="72"/>
      <c r="L2" s="71"/>
    </row>
    <row r="3" spans="1:13" x14ac:dyDescent="0.25">
      <c r="A3" s="4"/>
      <c r="B3" s="6" t="s">
        <v>1986</v>
      </c>
      <c r="C3" s="15" t="s">
        <v>4016</v>
      </c>
      <c r="D3" s="15" t="s">
        <v>27</v>
      </c>
      <c r="E3" s="16" t="s">
        <v>4006</v>
      </c>
      <c r="F3" s="15" t="s">
        <v>4004</v>
      </c>
      <c r="G3" s="17">
        <v>2688</v>
      </c>
      <c r="H3" s="17">
        <v>2823</v>
      </c>
      <c r="I3" s="17">
        <v>2965</v>
      </c>
      <c r="J3" s="112">
        <v>981</v>
      </c>
      <c r="K3" s="112">
        <v>981</v>
      </c>
      <c r="L3" s="17">
        <f>K3*0.596</f>
        <v>584.67599999999993</v>
      </c>
      <c r="M3" t="s">
        <v>3246</v>
      </c>
    </row>
    <row r="4" spans="1:13" x14ac:dyDescent="0.25">
      <c r="B4" s="6" t="s">
        <v>1987</v>
      </c>
      <c r="C4" s="15" t="s">
        <v>4016</v>
      </c>
      <c r="D4" s="15" t="s">
        <v>28</v>
      </c>
      <c r="E4" s="16" t="s">
        <v>4007</v>
      </c>
      <c r="F4" s="15" t="s">
        <v>4004</v>
      </c>
      <c r="G4" s="17">
        <v>2742</v>
      </c>
      <c r="H4" s="17">
        <v>2880</v>
      </c>
      <c r="I4" s="17">
        <v>3025</v>
      </c>
      <c r="J4" s="112">
        <v>1136</v>
      </c>
      <c r="K4" s="112">
        <v>1136</v>
      </c>
      <c r="L4" s="17">
        <f t="shared" ref="L4:L63" si="0">K4*0.596</f>
        <v>677.05599999999993</v>
      </c>
      <c r="M4" t="s">
        <v>3246</v>
      </c>
    </row>
    <row r="5" spans="1:13" x14ac:dyDescent="0.25">
      <c r="A5" t="s">
        <v>4002</v>
      </c>
      <c r="B5" s="6" t="s">
        <v>1988</v>
      </c>
      <c r="C5" s="15" t="s">
        <v>4016</v>
      </c>
      <c r="D5" s="15" t="s">
        <v>29</v>
      </c>
      <c r="E5" s="16" t="s">
        <v>4008</v>
      </c>
      <c r="F5" s="15" t="s">
        <v>4004</v>
      </c>
      <c r="G5" s="17">
        <v>3054</v>
      </c>
      <c r="H5" s="17">
        <v>3207</v>
      </c>
      <c r="I5" s="17">
        <v>3368</v>
      </c>
      <c r="J5" s="112">
        <v>1326</v>
      </c>
      <c r="K5" s="112">
        <v>1326</v>
      </c>
      <c r="L5" s="17">
        <f t="shared" si="0"/>
        <v>790.29599999999994</v>
      </c>
      <c r="M5" t="s">
        <v>3246</v>
      </c>
    </row>
    <row r="6" spans="1:13" x14ac:dyDescent="0.25">
      <c r="B6" s="6" t="s">
        <v>1989</v>
      </c>
      <c r="C6" s="15" t="s">
        <v>4016</v>
      </c>
      <c r="D6" s="15" t="s">
        <v>30</v>
      </c>
      <c r="E6" s="16" t="s">
        <v>4009</v>
      </c>
      <c r="F6" s="15" t="s">
        <v>4004</v>
      </c>
      <c r="G6" s="17">
        <v>3239</v>
      </c>
      <c r="H6" s="17">
        <v>3401</v>
      </c>
      <c r="I6" s="17">
        <v>3572</v>
      </c>
      <c r="J6" s="112">
        <v>2005</v>
      </c>
      <c r="K6" s="112">
        <v>2005</v>
      </c>
      <c r="L6" s="17">
        <f t="shared" si="0"/>
        <v>1194.98</v>
      </c>
      <c r="M6" t="s">
        <v>3246</v>
      </c>
    </row>
    <row r="7" spans="1:13" x14ac:dyDescent="0.25">
      <c r="B7" s="6" t="s">
        <v>1990</v>
      </c>
      <c r="C7" s="15" t="s">
        <v>4016</v>
      </c>
      <c r="D7" s="15" t="s">
        <v>31</v>
      </c>
      <c r="E7" s="16" t="s">
        <v>4010</v>
      </c>
      <c r="F7" s="15" t="s">
        <v>4004</v>
      </c>
      <c r="G7" s="17">
        <v>4009</v>
      </c>
      <c r="H7" s="17">
        <v>4210</v>
      </c>
      <c r="I7" s="17">
        <v>4421</v>
      </c>
      <c r="J7" s="112">
        <v>3066</v>
      </c>
      <c r="K7" s="112">
        <v>3066</v>
      </c>
      <c r="L7" s="17">
        <f t="shared" si="0"/>
        <v>1827.336</v>
      </c>
      <c r="M7" t="s">
        <v>3246</v>
      </c>
    </row>
    <row r="8" spans="1:13" s="62" customFormat="1" x14ac:dyDescent="0.25">
      <c r="A8" s="62" t="s">
        <v>4022</v>
      </c>
      <c r="B8" s="67" t="s">
        <v>4021</v>
      </c>
      <c r="C8" s="68"/>
      <c r="D8" s="68"/>
      <c r="E8" s="69"/>
      <c r="F8" s="68"/>
      <c r="G8" s="70"/>
      <c r="H8" s="17"/>
      <c r="I8" s="70"/>
      <c r="J8" s="113"/>
      <c r="K8" s="113"/>
      <c r="L8" s="70"/>
    </row>
    <row r="9" spans="1:13" x14ac:dyDescent="0.25">
      <c r="A9" s="4"/>
      <c r="B9" s="6" t="s">
        <v>1991</v>
      </c>
      <c r="C9" s="15" t="s">
        <v>4017</v>
      </c>
      <c r="D9" s="15" t="s">
        <v>12</v>
      </c>
      <c r="E9" s="16" t="s">
        <v>4011</v>
      </c>
      <c r="F9" s="15" t="s">
        <v>4005</v>
      </c>
      <c r="G9" s="17">
        <v>2960</v>
      </c>
      <c r="H9" s="17">
        <v>3109</v>
      </c>
      <c r="I9" s="17">
        <v>3265</v>
      </c>
      <c r="J9" s="112">
        <v>1020</v>
      </c>
      <c r="K9" s="112">
        <v>1020</v>
      </c>
      <c r="L9" s="17">
        <f t="shared" si="0"/>
        <v>607.91999999999996</v>
      </c>
      <c r="M9" t="s">
        <v>3246</v>
      </c>
    </row>
    <row r="10" spans="1:13" x14ac:dyDescent="0.25">
      <c r="B10" s="6" t="s">
        <v>1992</v>
      </c>
      <c r="C10" s="15" t="s">
        <v>4018</v>
      </c>
      <c r="D10" s="15" t="s">
        <v>25</v>
      </c>
      <c r="E10" s="16" t="s">
        <v>4025</v>
      </c>
      <c r="F10" s="15" t="s">
        <v>42</v>
      </c>
      <c r="G10" s="17">
        <v>3567</v>
      </c>
      <c r="H10" s="17">
        <v>3746</v>
      </c>
      <c r="I10" s="17">
        <v>3934</v>
      </c>
      <c r="J10" s="112">
        <v>1389</v>
      </c>
      <c r="K10" s="112">
        <v>1389</v>
      </c>
      <c r="L10" s="17">
        <f t="shared" si="0"/>
        <v>827.84399999999994</v>
      </c>
      <c r="M10" t="s">
        <v>3246</v>
      </c>
    </row>
    <row r="11" spans="1:13" x14ac:dyDescent="0.25">
      <c r="B11" s="6" t="s">
        <v>1993</v>
      </c>
      <c r="C11" s="15" t="s">
        <v>4017</v>
      </c>
      <c r="D11" s="15" t="s">
        <v>25</v>
      </c>
      <c r="E11" s="16" t="s">
        <v>4012</v>
      </c>
      <c r="F11" s="15" t="s">
        <v>4005</v>
      </c>
      <c r="G11" s="17">
        <v>2744</v>
      </c>
      <c r="H11" s="17">
        <v>2882</v>
      </c>
      <c r="I11" s="17">
        <v>3027</v>
      </c>
      <c r="J11" s="112">
        <v>1165</v>
      </c>
      <c r="K11" s="112">
        <v>1165</v>
      </c>
      <c r="L11" s="17">
        <f t="shared" si="0"/>
        <v>694.33999999999992</v>
      </c>
      <c r="M11" t="s">
        <v>3246</v>
      </c>
    </row>
    <row r="12" spans="1:13" x14ac:dyDescent="0.25">
      <c r="B12" s="6" t="s">
        <v>1994</v>
      </c>
      <c r="C12" s="15" t="s">
        <v>4018</v>
      </c>
      <c r="D12" s="15" t="s">
        <v>26</v>
      </c>
      <c r="E12" s="16" t="s">
        <v>4013</v>
      </c>
      <c r="F12" s="15" t="s">
        <v>42</v>
      </c>
      <c r="G12" s="17">
        <v>3787</v>
      </c>
      <c r="H12" s="17">
        <v>3977</v>
      </c>
      <c r="I12" s="17">
        <v>4176</v>
      </c>
      <c r="J12" s="112">
        <v>1467</v>
      </c>
      <c r="K12" s="112">
        <v>1467</v>
      </c>
      <c r="L12" s="17">
        <f t="shared" si="0"/>
        <v>874.33199999999999</v>
      </c>
      <c r="M12" t="s">
        <v>3246</v>
      </c>
    </row>
    <row r="13" spans="1:13" x14ac:dyDescent="0.25">
      <c r="B13" s="6" t="s">
        <v>1995</v>
      </c>
      <c r="C13" s="15" t="s">
        <v>4017</v>
      </c>
      <c r="D13" s="15" t="s">
        <v>26</v>
      </c>
      <c r="E13" s="16" t="s">
        <v>5005</v>
      </c>
      <c r="F13" s="15" t="s">
        <v>5007</v>
      </c>
      <c r="G13" s="17">
        <v>2960</v>
      </c>
      <c r="H13" s="17">
        <v>3109</v>
      </c>
      <c r="I13" s="17">
        <v>3265</v>
      </c>
      <c r="J13" s="112">
        <v>2799</v>
      </c>
      <c r="K13" s="112">
        <v>2799</v>
      </c>
      <c r="L13" s="17">
        <f t="shared" si="0"/>
        <v>1668.204</v>
      </c>
      <c r="M13" t="s">
        <v>3246</v>
      </c>
    </row>
    <row r="14" spans="1:13" x14ac:dyDescent="0.25">
      <c r="B14" s="6" t="s">
        <v>1996</v>
      </c>
      <c r="C14" s="15" t="s">
        <v>4018</v>
      </c>
      <c r="D14" s="15" t="s">
        <v>40</v>
      </c>
      <c r="E14" s="16" t="s">
        <v>4014</v>
      </c>
      <c r="F14" s="15" t="s">
        <v>42</v>
      </c>
      <c r="G14" s="17">
        <v>4049</v>
      </c>
      <c r="H14" s="17">
        <v>4252</v>
      </c>
      <c r="I14" s="17">
        <v>4465</v>
      </c>
      <c r="J14" s="112">
        <v>1555</v>
      </c>
      <c r="K14" s="112">
        <v>1555</v>
      </c>
      <c r="L14" s="17">
        <f t="shared" si="0"/>
        <v>926.78</v>
      </c>
      <c r="M14" t="s">
        <v>3246</v>
      </c>
    </row>
    <row r="15" spans="1:13" x14ac:dyDescent="0.25">
      <c r="B15" s="6" t="s">
        <v>1997</v>
      </c>
      <c r="C15" s="15" t="s">
        <v>4017</v>
      </c>
      <c r="D15" s="15" t="s">
        <v>40</v>
      </c>
      <c r="E15" s="16" t="s">
        <v>5006</v>
      </c>
      <c r="F15" s="15" t="s">
        <v>5008</v>
      </c>
      <c r="G15" s="17">
        <v>3222</v>
      </c>
      <c r="H15" s="17">
        <v>3834</v>
      </c>
      <c r="I15" s="17">
        <v>4026</v>
      </c>
      <c r="J15" s="112">
        <v>3547</v>
      </c>
      <c r="K15" s="112">
        <v>3547</v>
      </c>
      <c r="L15" s="17">
        <f t="shared" si="0"/>
        <v>2114.0119999999997</v>
      </c>
      <c r="M15" t="s">
        <v>3246</v>
      </c>
    </row>
    <row r="16" spans="1:13" x14ac:dyDescent="0.25">
      <c r="A16" s="94" t="s">
        <v>4024</v>
      </c>
      <c r="B16" s="6" t="s">
        <v>1998</v>
      </c>
      <c r="C16" s="15" t="s">
        <v>4018</v>
      </c>
      <c r="D16" s="15" t="s">
        <v>41</v>
      </c>
      <c r="E16" s="16" t="s">
        <v>5011</v>
      </c>
      <c r="F16" s="15" t="s">
        <v>5012</v>
      </c>
      <c r="G16" s="17">
        <v>5176</v>
      </c>
      <c r="H16" s="17">
        <v>5435</v>
      </c>
      <c r="I16" s="17">
        <v>5707</v>
      </c>
      <c r="J16" s="112">
        <v>2138</v>
      </c>
      <c r="K16" s="112">
        <v>2138</v>
      </c>
      <c r="L16" s="17">
        <f t="shared" si="0"/>
        <v>1274.248</v>
      </c>
      <c r="M16" t="s">
        <v>3246</v>
      </c>
    </row>
    <row r="17" spans="1:13" s="62" customFormat="1" x14ac:dyDescent="0.25">
      <c r="A17" s="62" t="s">
        <v>2905</v>
      </c>
      <c r="B17" s="67" t="s">
        <v>2902</v>
      </c>
      <c r="C17" s="68"/>
      <c r="D17" s="68"/>
      <c r="E17" s="69"/>
      <c r="F17" s="68"/>
      <c r="G17" s="70"/>
      <c r="H17" s="17"/>
      <c r="I17" s="70"/>
      <c r="J17" s="113"/>
      <c r="K17" s="113"/>
      <c r="L17" s="70"/>
    </row>
    <row r="18" spans="1:13" x14ac:dyDescent="0.25">
      <c r="A18" s="4"/>
      <c r="B18" s="6" t="s">
        <v>1999</v>
      </c>
      <c r="C18" s="15" t="s">
        <v>4019</v>
      </c>
      <c r="D18" s="15" t="s">
        <v>6</v>
      </c>
      <c r="E18" s="16" t="s">
        <v>32</v>
      </c>
      <c r="F18" s="15" t="s">
        <v>42</v>
      </c>
      <c r="G18" s="17">
        <v>1087</v>
      </c>
      <c r="H18" s="17">
        <v>1142</v>
      </c>
      <c r="I18" s="17">
        <v>1200</v>
      </c>
      <c r="J18" s="112">
        <f t="shared" ref="J18:J65" si="1">I18*1.08</f>
        <v>1296</v>
      </c>
      <c r="K18" s="112">
        <f t="shared" ref="K18:K25" si="2">I18*1.11</f>
        <v>1332.0000000000002</v>
      </c>
      <c r="L18" s="17">
        <f t="shared" si="0"/>
        <v>793.87200000000007</v>
      </c>
      <c r="M18" t="s">
        <v>3246</v>
      </c>
    </row>
    <row r="19" spans="1:13" x14ac:dyDescent="0.25">
      <c r="A19" s="32"/>
      <c r="B19" s="6" t="s">
        <v>2000</v>
      </c>
      <c r="C19" s="15" t="s">
        <v>4019</v>
      </c>
      <c r="D19" s="15" t="s">
        <v>7</v>
      </c>
      <c r="E19" s="16" t="s">
        <v>33</v>
      </c>
      <c r="F19" s="15" t="s">
        <v>42</v>
      </c>
      <c r="G19" s="17">
        <v>1120</v>
      </c>
      <c r="H19" s="17">
        <v>1177</v>
      </c>
      <c r="I19" s="17">
        <v>1236</v>
      </c>
      <c r="J19" s="112">
        <f t="shared" si="1"/>
        <v>1334.88</v>
      </c>
      <c r="K19" s="112">
        <f t="shared" si="2"/>
        <v>1371.96</v>
      </c>
      <c r="L19" s="17">
        <f t="shared" si="0"/>
        <v>817.68816000000004</v>
      </c>
      <c r="M19" t="s">
        <v>3246</v>
      </c>
    </row>
    <row r="20" spans="1:13" x14ac:dyDescent="0.25">
      <c r="A20" t="s">
        <v>3154</v>
      </c>
      <c r="B20" s="6" t="s">
        <v>2001</v>
      </c>
      <c r="C20" s="15" t="s">
        <v>4019</v>
      </c>
      <c r="D20" s="15" t="s">
        <v>8</v>
      </c>
      <c r="E20" s="16" t="s">
        <v>34</v>
      </c>
      <c r="F20" s="15" t="s">
        <v>42</v>
      </c>
      <c r="G20" s="17">
        <v>1187</v>
      </c>
      <c r="H20" s="17">
        <v>1247</v>
      </c>
      <c r="I20" s="17">
        <v>1310</v>
      </c>
      <c r="J20" s="112">
        <f t="shared" si="1"/>
        <v>1414.8000000000002</v>
      </c>
      <c r="K20" s="112">
        <f t="shared" si="2"/>
        <v>1454.1000000000001</v>
      </c>
      <c r="L20" s="17">
        <f t="shared" si="0"/>
        <v>866.64359999999999</v>
      </c>
      <c r="M20" t="s">
        <v>3246</v>
      </c>
    </row>
    <row r="21" spans="1:13" x14ac:dyDescent="0.25">
      <c r="B21" s="6" t="s">
        <v>2002</v>
      </c>
      <c r="C21" s="15" t="s">
        <v>4019</v>
      </c>
      <c r="D21" s="15" t="s">
        <v>9</v>
      </c>
      <c r="E21" s="16" t="s">
        <v>35</v>
      </c>
      <c r="F21" s="15" t="s">
        <v>42</v>
      </c>
      <c r="G21" s="17">
        <v>1224</v>
      </c>
      <c r="H21" s="17">
        <v>1286</v>
      </c>
      <c r="I21" s="17">
        <v>1351</v>
      </c>
      <c r="J21" s="112">
        <f t="shared" si="1"/>
        <v>1459.0800000000002</v>
      </c>
      <c r="K21" s="112">
        <f t="shared" si="2"/>
        <v>1499.6100000000001</v>
      </c>
      <c r="L21" s="17">
        <f t="shared" si="0"/>
        <v>893.76756</v>
      </c>
      <c r="M21" t="s">
        <v>3246</v>
      </c>
    </row>
    <row r="22" spans="1:13" x14ac:dyDescent="0.25">
      <c r="B22" s="6" t="s">
        <v>2003</v>
      </c>
      <c r="C22" s="15" t="s">
        <v>4019</v>
      </c>
      <c r="D22" s="15" t="s">
        <v>21</v>
      </c>
      <c r="E22" s="16" t="s">
        <v>36</v>
      </c>
      <c r="F22" s="15" t="s">
        <v>42</v>
      </c>
      <c r="G22" s="17">
        <v>1120</v>
      </c>
      <c r="H22" s="17">
        <v>1177</v>
      </c>
      <c r="I22" s="17">
        <v>1236</v>
      </c>
      <c r="J22" s="112">
        <f t="shared" si="1"/>
        <v>1334.88</v>
      </c>
      <c r="K22" s="112">
        <f t="shared" si="2"/>
        <v>1371.96</v>
      </c>
      <c r="L22" s="17">
        <f t="shared" si="0"/>
        <v>817.68816000000004</v>
      </c>
      <c r="M22" t="s">
        <v>3246</v>
      </c>
    </row>
    <row r="23" spans="1:13" x14ac:dyDescent="0.25">
      <c r="B23" s="6" t="s">
        <v>2004</v>
      </c>
      <c r="C23" s="15" t="s">
        <v>4019</v>
      </c>
      <c r="D23" s="15" t="s">
        <v>14</v>
      </c>
      <c r="E23" s="16" t="s">
        <v>37</v>
      </c>
      <c r="F23" s="15" t="s">
        <v>42</v>
      </c>
      <c r="G23" s="17">
        <v>1154</v>
      </c>
      <c r="H23" s="17">
        <v>1212</v>
      </c>
      <c r="I23" s="17">
        <v>1273</v>
      </c>
      <c r="J23" s="112">
        <f t="shared" si="1"/>
        <v>1374.8400000000001</v>
      </c>
      <c r="K23" s="112">
        <f t="shared" si="2"/>
        <v>1413.0300000000002</v>
      </c>
      <c r="L23" s="17">
        <f t="shared" si="0"/>
        <v>842.16588000000013</v>
      </c>
      <c r="M23" t="s">
        <v>3246</v>
      </c>
    </row>
    <row r="24" spans="1:13" x14ac:dyDescent="0.25">
      <c r="B24" s="6" t="s">
        <v>2005</v>
      </c>
      <c r="C24" s="15" t="s">
        <v>4019</v>
      </c>
      <c r="D24" s="15" t="s">
        <v>15</v>
      </c>
      <c r="E24" s="16" t="s">
        <v>38</v>
      </c>
      <c r="F24" s="15" t="s">
        <v>42</v>
      </c>
      <c r="G24" s="17">
        <v>1207</v>
      </c>
      <c r="H24" s="17">
        <v>1268</v>
      </c>
      <c r="I24" s="17">
        <v>1332</v>
      </c>
      <c r="J24" s="112">
        <f t="shared" si="1"/>
        <v>1438.5600000000002</v>
      </c>
      <c r="K24" s="112">
        <f t="shared" si="2"/>
        <v>1478.5200000000002</v>
      </c>
      <c r="L24" s="17">
        <f t="shared" si="0"/>
        <v>881.19792000000007</v>
      </c>
      <c r="M24" t="s">
        <v>3246</v>
      </c>
    </row>
    <row r="25" spans="1:13" x14ac:dyDescent="0.25">
      <c r="B25" s="6" t="s">
        <v>2006</v>
      </c>
      <c r="C25" s="15" t="s">
        <v>4019</v>
      </c>
      <c r="D25" s="15" t="s">
        <v>16</v>
      </c>
      <c r="E25" s="16" t="s">
        <v>39</v>
      </c>
      <c r="F25" s="15" t="s">
        <v>42</v>
      </c>
      <c r="G25" s="17">
        <v>1260</v>
      </c>
      <c r="H25" s="17">
        <v>1324</v>
      </c>
      <c r="I25" s="17">
        <v>1391</v>
      </c>
      <c r="J25" s="112">
        <f t="shared" si="1"/>
        <v>1502.2800000000002</v>
      </c>
      <c r="K25" s="112">
        <f t="shared" si="2"/>
        <v>1544.0100000000002</v>
      </c>
      <c r="L25" s="17">
        <f t="shared" si="0"/>
        <v>920.22996000000012</v>
      </c>
      <c r="M25" t="s">
        <v>3246</v>
      </c>
    </row>
    <row r="26" spans="1:13" s="62" customFormat="1" x14ac:dyDescent="0.25">
      <c r="A26" s="62" t="s">
        <v>2905</v>
      </c>
      <c r="B26" s="67" t="s">
        <v>2864</v>
      </c>
      <c r="C26" s="68"/>
      <c r="D26" s="68"/>
      <c r="E26" s="69"/>
      <c r="F26" s="68"/>
      <c r="G26" s="70"/>
      <c r="H26" s="17"/>
      <c r="I26" s="70"/>
      <c r="J26" s="113"/>
      <c r="K26" s="70"/>
      <c r="L26" s="70"/>
    </row>
    <row r="27" spans="1:13" x14ac:dyDescent="0.25">
      <c r="B27" s="6" t="s">
        <v>2007</v>
      </c>
      <c r="C27" s="15" t="s">
        <v>4020</v>
      </c>
      <c r="D27" s="15" t="s">
        <v>21</v>
      </c>
      <c r="E27" s="16" t="s">
        <v>5009</v>
      </c>
      <c r="F27" s="15" t="s">
        <v>5010</v>
      </c>
      <c r="G27" s="17">
        <v>2531</v>
      </c>
      <c r="H27" s="17">
        <v>2658</v>
      </c>
      <c r="I27" s="17">
        <v>2791</v>
      </c>
      <c r="J27" s="112">
        <v>2792</v>
      </c>
      <c r="K27" s="112">
        <v>2792</v>
      </c>
      <c r="L27" s="17">
        <f t="shared" si="0"/>
        <v>1664.0319999999999</v>
      </c>
      <c r="M27" t="s">
        <v>3246</v>
      </c>
    </row>
    <row r="28" spans="1:13" x14ac:dyDescent="0.25">
      <c r="A28" t="s">
        <v>4003</v>
      </c>
      <c r="B28" s="6" t="s">
        <v>2008</v>
      </c>
      <c r="C28" s="15" t="s">
        <v>4020</v>
      </c>
      <c r="D28" s="15" t="s">
        <v>14</v>
      </c>
      <c r="E28" s="16" t="s">
        <v>4015</v>
      </c>
      <c r="F28" s="15" t="s">
        <v>4004</v>
      </c>
      <c r="G28" s="17">
        <v>2656</v>
      </c>
      <c r="H28" s="17">
        <v>2789</v>
      </c>
      <c r="I28" s="17">
        <v>2929</v>
      </c>
      <c r="J28" s="112">
        <v>1470</v>
      </c>
      <c r="K28" s="17">
        <v>1470</v>
      </c>
      <c r="L28" s="17">
        <f t="shared" si="0"/>
        <v>876.12</v>
      </c>
      <c r="M28" t="s">
        <v>3246</v>
      </c>
    </row>
    <row r="29" spans="1:13" x14ac:dyDescent="0.25">
      <c r="B29" s="6" t="s">
        <v>2009</v>
      </c>
      <c r="C29" s="15" t="s">
        <v>4020</v>
      </c>
      <c r="D29" s="15" t="s">
        <v>16</v>
      </c>
      <c r="E29" s="16" t="s">
        <v>5013</v>
      </c>
      <c r="F29" s="15" t="s">
        <v>5014</v>
      </c>
      <c r="G29" s="17">
        <v>4267</v>
      </c>
      <c r="H29" s="17">
        <v>4481</v>
      </c>
      <c r="I29" s="17">
        <v>4706</v>
      </c>
      <c r="J29" s="112">
        <v>2317</v>
      </c>
      <c r="K29" s="17">
        <v>2317</v>
      </c>
      <c r="L29" s="17">
        <f t="shared" si="0"/>
        <v>1380.932</v>
      </c>
      <c r="M29" t="s">
        <v>3246</v>
      </c>
    </row>
    <row r="30" spans="1:13" s="62" customFormat="1" x14ac:dyDescent="0.25">
      <c r="A30" s="62" t="s">
        <v>2905</v>
      </c>
      <c r="B30" s="67" t="s">
        <v>2903</v>
      </c>
      <c r="C30" s="68"/>
      <c r="D30" s="68"/>
      <c r="E30" s="69"/>
      <c r="F30" s="68"/>
      <c r="G30" s="70"/>
      <c r="H30" s="17"/>
      <c r="I30" s="70"/>
      <c r="J30" s="113"/>
      <c r="K30" s="70"/>
      <c r="L30" s="70"/>
    </row>
    <row r="31" spans="1:13" x14ac:dyDescent="0.25">
      <c r="A31" s="4"/>
      <c r="B31" s="6" t="s">
        <v>2010</v>
      </c>
      <c r="C31" s="15" t="s">
        <v>263</v>
      </c>
      <c r="D31" s="15" t="s">
        <v>22</v>
      </c>
      <c r="E31" s="16" t="s">
        <v>44</v>
      </c>
      <c r="F31" s="15" t="s">
        <v>157</v>
      </c>
      <c r="G31" s="18">
        <v>4207</v>
      </c>
      <c r="H31" s="17">
        <v>4418</v>
      </c>
      <c r="I31" s="17">
        <v>4639</v>
      </c>
      <c r="J31" s="112">
        <f t="shared" si="1"/>
        <v>5010.12</v>
      </c>
      <c r="K31" s="112">
        <v>5010.12</v>
      </c>
      <c r="L31" s="17">
        <f t="shared" si="0"/>
        <v>2986.03152</v>
      </c>
      <c r="M31" t="s">
        <v>3246</v>
      </c>
    </row>
    <row r="32" spans="1:13" x14ac:dyDescent="0.25">
      <c r="A32" s="30"/>
      <c r="B32" s="6" t="s">
        <v>2011</v>
      </c>
      <c r="C32" s="15" t="s">
        <v>263</v>
      </c>
      <c r="D32" s="15" t="s">
        <v>23</v>
      </c>
      <c r="E32" s="16" t="s">
        <v>45</v>
      </c>
      <c r="F32" s="15" t="s">
        <v>157</v>
      </c>
      <c r="G32" s="18">
        <v>4271</v>
      </c>
      <c r="H32" s="17">
        <v>4485</v>
      </c>
      <c r="I32" s="17">
        <v>4710</v>
      </c>
      <c r="J32" s="112">
        <f t="shared" si="1"/>
        <v>5086.8</v>
      </c>
      <c r="K32" s="112">
        <v>5086.8</v>
      </c>
      <c r="L32" s="17">
        <f t="shared" si="0"/>
        <v>3031.7327999999998</v>
      </c>
      <c r="M32" t="s">
        <v>3246</v>
      </c>
    </row>
    <row r="33" spans="1:13" x14ac:dyDescent="0.25">
      <c r="B33" s="6" t="s">
        <v>2012</v>
      </c>
      <c r="C33" s="15" t="s">
        <v>263</v>
      </c>
      <c r="D33" s="15" t="s">
        <v>24</v>
      </c>
      <c r="E33" s="16" t="s">
        <v>46</v>
      </c>
      <c r="F33" s="15" t="s">
        <v>157</v>
      </c>
      <c r="G33" s="18">
        <v>4356</v>
      </c>
      <c r="H33" s="17">
        <v>4574</v>
      </c>
      <c r="I33" s="17">
        <v>4803</v>
      </c>
      <c r="J33" s="112">
        <f t="shared" si="1"/>
        <v>5187.2400000000007</v>
      </c>
      <c r="K33" s="112">
        <v>5187.2400000000007</v>
      </c>
      <c r="L33" s="17">
        <f t="shared" si="0"/>
        <v>3091.5950400000002</v>
      </c>
      <c r="M33" t="s">
        <v>3246</v>
      </c>
    </row>
    <row r="34" spans="1:13" x14ac:dyDescent="0.25">
      <c r="B34" s="6" t="s">
        <v>2013</v>
      </c>
      <c r="C34" s="15" t="s">
        <v>263</v>
      </c>
      <c r="D34" s="15" t="s">
        <v>120</v>
      </c>
      <c r="E34" s="16" t="s">
        <v>47</v>
      </c>
      <c r="F34" s="15" t="s">
        <v>157</v>
      </c>
      <c r="G34" s="18">
        <v>4551</v>
      </c>
      <c r="H34" s="17">
        <v>4779</v>
      </c>
      <c r="I34" s="17">
        <v>5018</v>
      </c>
      <c r="J34" s="112">
        <f t="shared" si="1"/>
        <v>5419.4400000000005</v>
      </c>
      <c r="K34" s="112">
        <v>5419.4400000000005</v>
      </c>
      <c r="L34" s="17">
        <f t="shared" si="0"/>
        <v>3229.9862400000002</v>
      </c>
      <c r="M34" t="s">
        <v>3246</v>
      </c>
    </row>
    <row r="35" spans="1:13" x14ac:dyDescent="0.25">
      <c r="B35" s="6" t="s">
        <v>2014</v>
      </c>
      <c r="C35" s="15" t="s">
        <v>263</v>
      </c>
      <c r="D35" s="15" t="s">
        <v>121</v>
      </c>
      <c r="E35" s="16" t="s">
        <v>48</v>
      </c>
      <c r="F35" s="21" t="s">
        <v>493</v>
      </c>
      <c r="G35" s="20">
        <f>5287-517+563</f>
        <v>5333</v>
      </c>
      <c r="H35" s="17">
        <v>5600</v>
      </c>
      <c r="I35" s="17">
        <v>5881</v>
      </c>
      <c r="J35" s="112">
        <f t="shared" si="1"/>
        <v>6351.4800000000005</v>
      </c>
      <c r="K35" s="112">
        <v>6351.4800000000005</v>
      </c>
      <c r="L35" s="17">
        <f t="shared" si="0"/>
        <v>3785.4820800000002</v>
      </c>
      <c r="M35" t="s">
        <v>3246</v>
      </c>
    </row>
    <row r="36" spans="1:13" x14ac:dyDescent="0.25">
      <c r="B36" s="6" t="s">
        <v>2015</v>
      </c>
      <c r="C36" s="15" t="s">
        <v>263</v>
      </c>
      <c r="D36" s="15" t="s">
        <v>122</v>
      </c>
      <c r="E36" s="16" t="s">
        <v>49</v>
      </c>
      <c r="F36" s="21" t="s">
        <v>493</v>
      </c>
      <c r="G36" s="20">
        <f>5367-517+563</f>
        <v>5413</v>
      </c>
      <c r="H36" s="17">
        <v>5684</v>
      </c>
      <c r="I36" s="17">
        <v>5969</v>
      </c>
      <c r="J36" s="112">
        <f t="shared" si="1"/>
        <v>6446.52</v>
      </c>
      <c r="K36" s="112">
        <v>6446.52</v>
      </c>
      <c r="L36" s="17">
        <f t="shared" si="0"/>
        <v>3842.12592</v>
      </c>
      <c r="M36" t="s">
        <v>3246</v>
      </c>
    </row>
    <row r="37" spans="1:13" x14ac:dyDescent="0.25">
      <c r="B37" s="6" t="s">
        <v>2016</v>
      </c>
      <c r="C37" s="15" t="s">
        <v>263</v>
      </c>
      <c r="D37" s="15" t="s">
        <v>123</v>
      </c>
      <c r="E37" s="16" t="s">
        <v>50</v>
      </c>
      <c r="F37" s="21" t="s">
        <v>494</v>
      </c>
      <c r="G37" s="20">
        <f>5402-517+563</f>
        <v>5448</v>
      </c>
      <c r="H37" s="17">
        <v>5721</v>
      </c>
      <c r="I37" s="17">
        <v>6008</v>
      </c>
      <c r="J37" s="112">
        <f t="shared" si="1"/>
        <v>6488.64</v>
      </c>
      <c r="K37" s="112">
        <v>6488.64</v>
      </c>
      <c r="L37" s="17">
        <f t="shared" si="0"/>
        <v>3867.2294400000001</v>
      </c>
      <c r="M37" t="s">
        <v>3246</v>
      </c>
    </row>
    <row r="38" spans="1:13" x14ac:dyDescent="0.25">
      <c r="B38" s="6" t="s">
        <v>2017</v>
      </c>
      <c r="C38" s="15" t="s">
        <v>263</v>
      </c>
      <c r="D38" s="15" t="s">
        <v>138</v>
      </c>
      <c r="E38" s="16" t="s">
        <v>51</v>
      </c>
      <c r="F38" s="21" t="s">
        <v>495</v>
      </c>
      <c r="G38" s="20">
        <f>5825-517+563</f>
        <v>5871</v>
      </c>
      <c r="H38" s="17">
        <v>6165</v>
      </c>
      <c r="I38" s="17">
        <v>6474</v>
      </c>
      <c r="J38" s="112">
        <f t="shared" si="1"/>
        <v>6991.92</v>
      </c>
      <c r="K38" s="112">
        <v>6991.92</v>
      </c>
      <c r="L38" s="17">
        <f t="shared" si="0"/>
        <v>4167.1843200000003</v>
      </c>
      <c r="M38" t="s">
        <v>3246</v>
      </c>
    </row>
    <row r="39" spans="1:13" x14ac:dyDescent="0.25">
      <c r="B39" s="6" t="s">
        <v>2018</v>
      </c>
      <c r="C39" s="15" t="s">
        <v>263</v>
      </c>
      <c r="D39" s="15" t="s">
        <v>139</v>
      </c>
      <c r="E39" s="16" t="s">
        <v>52</v>
      </c>
      <c r="F39" s="21" t="s">
        <v>494</v>
      </c>
      <c r="G39" s="20">
        <f>5922-517+563</f>
        <v>5968</v>
      </c>
      <c r="H39" s="17">
        <v>6267</v>
      </c>
      <c r="I39" s="17">
        <v>6581</v>
      </c>
      <c r="J39" s="112">
        <f t="shared" si="1"/>
        <v>7107.4800000000005</v>
      </c>
      <c r="K39" s="112">
        <v>7107.4800000000005</v>
      </c>
      <c r="L39" s="17">
        <f t="shared" si="0"/>
        <v>4236.0580799999998</v>
      </c>
      <c r="M39" t="s">
        <v>3246</v>
      </c>
    </row>
    <row r="40" spans="1:13" x14ac:dyDescent="0.25">
      <c r="B40" s="6" t="s">
        <v>2019</v>
      </c>
      <c r="C40" s="15" t="s">
        <v>263</v>
      </c>
      <c r="D40" s="15" t="s">
        <v>140</v>
      </c>
      <c r="E40" s="16" t="s">
        <v>53</v>
      </c>
      <c r="F40" s="21" t="s">
        <v>495</v>
      </c>
      <c r="G40" s="20">
        <f>6472-517+563</f>
        <v>6518</v>
      </c>
      <c r="H40" s="17">
        <v>6844</v>
      </c>
      <c r="I40" s="17">
        <v>7187</v>
      </c>
      <c r="J40" s="112">
        <f t="shared" si="1"/>
        <v>7761.9600000000009</v>
      </c>
      <c r="K40" s="112">
        <v>7761.9600000000009</v>
      </c>
      <c r="L40" s="17">
        <f t="shared" si="0"/>
        <v>4626.1281600000002</v>
      </c>
      <c r="M40" t="s">
        <v>3246</v>
      </c>
    </row>
    <row r="41" spans="1:13" x14ac:dyDescent="0.25">
      <c r="B41" s="6" t="s">
        <v>2020</v>
      </c>
      <c r="C41" s="15" t="s">
        <v>263</v>
      </c>
      <c r="D41" s="15" t="s">
        <v>141</v>
      </c>
      <c r="E41" s="16" t="s">
        <v>54</v>
      </c>
      <c r="F41" s="21" t="s">
        <v>495</v>
      </c>
      <c r="G41" s="20">
        <f>6589-517+563</f>
        <v>6635</v>
      </c>
      <c r="H41" s="17">
        <v>6967</v>
      </c>
      <c r="I41" s="17">
        <v>7316</v>
      </c>
      <c r="J41" s="112">
        <f t="shared" si="1"/>
        <v>7901.2800000000007</v>
      </c>
      <c r="K41" s="112">
        <v>7901.2800000000007</v>
      </c>
      <c r="L41" s="17">
        <f t="shared" si="0"/>
        <v>4709.1628799999999</v>
      </c>
      <c r="M41" t="s">
        <v>3246</v>
      </c>
    </row>
    <row r="42" spans="1:13" x14ac:dyDescent="0.25">
      <c r="B42" s="6" t="s">
        <v>2021</v>
      </c>
      <c r="C42" s="15" t="s">
        <v>263</v>
      </c>
      <c r="D42" s="15" t="s">
        <v>124</v>
      </c>
      <c r="E42" s="16" t="s">
        <v>55</v>
      </c>
      <c r="F42" s="21" t="s">
        <v>157</v>
      </c>
      <c r="G42" s="20">
        <v>4321</v>
      </c>
      <c r="H42" s="17">
        <v>4538</v>
      </c>
      <c r="I42" s="17">
        <v>4765</v>
      </c>
      <c r="J42" s="112">
        <f t="shared" si="1"/>
        <v>5146.2000000000007</v>
      </c>
      <c r="K42" s="112">
        <v>5146.2000000000007</v>
      </c>
      <c r="L42" s="17">
        <f t="shared" si="0"/>
        <v>3067.1352000000002</v>
      </c>
      <c r="M42" t="s">
        <v>3246</v>
      </c>
    </row>
    <row r="43" spans="1:13" x14ac:dyDescent="0.25">
      <c r="A43" t="s">
        <v>3153</v>
      </c>
      <c r="B43" s="6" t="s">
        <v>2022</v>
      </c>
      <c r="C43" s="15" t="s">
        <v>263</v>
      </c>
      <c r="D43" s="15" t="s">
        <v>125</v>
      </c>
      <c r="E43" s="16" t="s">
        <v>56</v>
      </c>
      <c r="F43" s="21" t="s">
        <v>157</v>
      </c>
      <c r="G43" s="20">
        <v>4389</v>
      </c>
      <c r="H43" s="17">
        <v>4609</v>
      </c>
      <c r="I43" s="17">
        <v>4840</v>
      </c>
      <c r="J43" s="112">
        <f t="shared" si="1"/>
        <v>5227.2000000000007</v>
      </c>
      <c r="K43" s="112">
        <v>5227.2000000000007</v>
      </c>
      <c r="L43" s="17">
        <f t="shared" si="0"/>
        <v>3115.4112000000005</v>
      </c>
      <c r="M43" t="s">
        <v>3246</v>
      </c>
    </row>
    <row r="44" spans="1:13" x14ac:dyDescent="0.25">
      <c r="B44" s="6" t="s">
        <v>2023</v>
      </c>
      <c r="C44" s="15" t="s">
        <v>263</v>
      </c>
      <c r="D44" s="15" t="s">
        <v>126</v>
      </c>
      <c r="E44" s="16" t="s">
        <v>57</v>
      </c>
      <c r="F44" s="21" t="s">
        <v>157</v>
      </c>
      <c r="G44" s="20">
        <v>4470</v>
      </c>
      <c r="H44" s="17">
        <v>4694</v>
      </c>
      <c r="I44" s="17">
        <v>4930</v>
      </c>
      <c r="J44" s="112">
        <f t="shared" si="1"/>
        <v>5324.4000000000005</v>
      </c>
      <c r="K44" s="112">
        <v>5324.4000000000005</v>
      </c>
      <c r="L44" s="17">
        <f t="shared" si="0"/>
        <v>3173.3424</v>
      </c>
      <c r="M44" t="s">
        <v>3246</v>
      </c>
    </row>
    <row r="45" spans="1:13" x14ac:dyDescent="0.25">
      <c r="B45" s="6" t="s">
        <v>2024</v>
      </c>
      <c r="C45" s="15" t="s">
        <v>263</v>
      </c>
      <c r="D45" s="15" t="s">
        <v>127</v>
      </c>
      <c r="E45" s="16" t="s">
        <v>58</v>
      </c>
      <c r="F45" s="21" t="s">
        <v>157</v>
      </c>
      <c r="G45" s="20">
        <v>4688</v>
      </c>
      <c r="H45" s="17">
        <v>4923</v>
      </c>
      <c r="I45" s="17">
        <v>5170</v>
      </c>
      <c r="J45" s="112">
        <f t="shared" si="1"/>
        <v>5583.6</v>
      </c>
      <c r="K45" s="112">
        <v>5583.6</v>
      </c>
      <c r="L45" s="17">
        <f t="shared" si="0"/>
        <v>3327.8256000000001</v>
      </c>
      <c r="M45" t="s">
        <v>3246</v>
      </c>
    </row>
    <row r="46" spans="1:13" x14ac:dyDescent="0.25">
      <c r="B46" s="6" t="s">
        <v>2025</v>
      </c>
      <c r="C46" s="15" t="s">
        <v>263</v>
      </c>
      <c r="D46" s="15" t="s">
        <v>128</v>
      </c>
      <c r="E46" s="16" t="s">
        <v>59</v>
      </c>
      <c r="F46" s="21" t="s">
        <v>493</v>
      </c>
      <c r="G46" s="20">
        <f>5459-517+563</f>
        <v>5505</v>
      </c>
      <c r="H46" s="17">
        <v>5781</v>
      </c>
      <c r="I46" s="17">
        <v>6071</v>
      </c>
      <c r="J46" s="112">
        <f t="shared" si="1"/>
        <v>6556.68</v>
      </c>
      <c r="K46" s="112">
        <v>6556.68</v>
      </c>
      <c r="L46" s="17">
        <f t="shared" si="0"/>
        <v>3907.7812800000002</v>
      </c>
      <c r="M46" t="s">
        <v>3246</v>
      </c>
    </row>
    <row r="47" spans="1:13" x14ac:dyDescent="0.25">
      <c r="B47" s="6" t="s">
        <v>2026</v>
      </c>
      <c r="C47" s="15" t="s">
        <v>263</v>
      </c>
      <c r="D47" s="15" t="s">
        <v>129</v>
      </c>
      <c r="E47" s="16" t="s">
        <v>60</v>
      </c>
      <c r="F47" s="21" t="s">
        <v>493</v>
      </c>
      <c r="G47" s="20">
        <f>5544-517+563</f>
        <v>5590</v>
      </c>
      <c r="H47" s="17">
        <v>5870</v>
      </c>
      <c r="I47" s="17">
        <v>6164</v>
      </c>
      <c r="J47" s="112">
        <f t="shared" si="1"/>
        <v>6657.1200000000008</v>
      </c>
      <c r="K47" s="112">
        <v>6657.1200000000008</v>
      </c>
      <c r="L47" s="17">
        <f t="shared" si="0"/>
        <v>3967.6435200000001</v>
      </c>
      <c r="M47" t="s">
        <v>3246</v>
      </c>
    </row>
    <row r="48" spans="1:13" x14ac:dyDescent="0.25">
      <c r="B48" s="6" t="s">
        <v>2027</v>
      </c>
      <c r="C48" s="15" t="s">
        <v>263</v>
      </c>
      <c r="D48" s="15" t="s">
        <v>130</v>
      </c>
      <c r="E48" s="16" t="s">
        <v>61</v>
      </c>
      <c r="F48" s="21" t="s">
        <v>494</v>
      </c>
      <c r="G48" s="20">
        <f>6006-517+563</f>
        <v>6052</v>
      </c>
      <c r="H48" s="17">
        <v>6355</v>
      </c>
      <c r="I48" s="17">
        <v>6673</v>
      </c>
      <c r="J48" s="112">
        <f t="shared" si="1"/>
        <v>7206.84</v>
      </c>
      <c r="K48" s="112">
        <v>7206.84</v>
      </c>
      <c r="L48" s="17">
        <f t="shared" si="0"/>
        <v>4295.27664</v>
      </c>
      <c r="M48" t="s">
        <v>3246</v>
      </c>
    </row>
    <row r="49" spans="1:13" x14ac:dyDescent="0.25">
      <c r="B49" s="6" t="s">
        <v>2028</v>
      </c>
      <c r="C49" s="15" t="s">
        <v>263</v>
      </c>
      <c r="D49" s="15" t="s">
        <v>142</v>
      </c>
      <c r="E49" s="16" t="s">
        <v>62</v>
      </c>
      <c r="F49" s="21" t="s">
        <v>495</v>
      </c>
      <c r="G49" s="20">
        <f>6103-517+563</f>
        <v>6149</v>
      </c>
      <c r="H49" s="17">
        <v>6457</v>
      </c>
      <c r="I49" s="17">
        <v>6780</v>
      </c>
      <c r="J49" s="112">
        <f t="shared" si="1"/>
        <v>7322.4000000000005</v>
      </c>
      <c r="K49" s="112">
        <v>7322.4000000000005</v>
      </c>
      <c r="L49" s="17">
        <f t="shared" si="0"/>
        <v>4364.1504000000004</v>
      </c>
      <c r="M49" t="s">
        <v>3246</v>
      </c>
    </row>
    <row r="50" spans="1:13" x14ac:dyDescent="0.25">
      <c r="B50" s="6" t="s">
        <v>2029</v>
      </c>
      <c r="C50" s="15" t="s">
        <v>263</v>
      </c>
      <c r="D50" s="15" t="s">
        <v>143</v>
      </c>
      <c r="E50" s="16" t="s">
        <v>63</v>
      </c>
      <c r="F50" s="21" t="s">
        <v>494</v>
      </c>
      <c r="G50" s="20">
        <f>6121-517+563</f>
        <v>6167</v>
      </c>
      <c r="H50" s="17">
        <v>6476</v>
      </c>
      <c r="I50" s="17">
        <v>6800</v>
      </c>
      <c r="J50" s="112">
        <f t="shared" si="1"/>
        <v>7344.0000000000009</v>
      </c>
      <c r="K50" s="112">
        <v>7344.0000000000009</v>
      </c>
      <c r="L50" s="17">
        <f t="shared" si="0"/>
        <v>4377.0240000000003</v>
      </c>
      <c r="M50" t="s">
        <v>3246</v>
      </c>
    </row>
    <row r="51" spans="1:13" x14ac:dyDescent="0.25">
      <c r="A51" s="59"/>
      <c r="B51" s="6" t="s">
        <v>2030</v>
      </c>
      <c r="C51" s="15" t="s">
        <v>263</v>
      </c>
      <c r="D51" s="15" t="s">
        <v>144</v>
      </c>
      <c r="E51" s="16" t="s">
        <v>64</v>
      </c>
      <c r="F51" s="21" t="s">
        <v>495</v>
      </c>
      <c r="G51" s="20">
        <f>6221-517+563</f>
        <v>6267</v>
      </c>
      <c r="H51" s="17">
        <v>6581</v>
      </c>
      <c r="I51" s="17">
        <v>6911</v>
      </c>
      <c r="J51" s="112">
        <f t="shared" si="1"/>
        <v>7463.88</v>
      </c>
      <c r="K51" s="112">
        <v>7463.88</v>
      </c>
      <c r="L51" s="17">
        <f t="shared" si="0"/>
        <v>4448.4724799999995</v>
      </c>
      <c r="M51" t="s">
        <v>3246</v>
      </c>
    </row>
    <row r="52" spans="1:13" x14ac:dyDescent="0.25">
      <c r="B52" s="6" t="s">
        <v>2031</v>
      </c>
      <c r="C52" s="15" t="s">
        <v>263</v>
      </c>
      <c r="D52" s="15" t="s">
        <v>145</v>
      </c>
      <c r="E52" s="16" t="s">
        <v>65</v>
      </c>
      <c r="F52" s="21" t="s">
        <v>495</v>
      </c>
      <c r="G52" s="20">
        <f>6809-517+563</f>
        <v>6855</v>
      </c>
      <c r="H52" s="17">
        <v>7198</v>
      </c>
      <c r="I52" s="17">
        <v>7558</v>
      </c>
      <c r="J52" s="112">
        <f t="shared" si="1"/>
        <v>8162.64</v>
      </c>
      <c r="K52" s="112">
        <v>8162.64</v>
      </c>
      <c r="L52" s="17">
        <f t="shared" si="0"/>
        <v>4864.9334399999998</v>
      </c>
      <c r="M52" t="s">
        <v>3246</v>
      </c>
    </row>
    <row r="53" spans="1:13" x14ac:dyDescent="0.25">
      <c r="A53" s="59"/>
      <c r="B53" s="6" t="s">
        <v>2032</v>
      </c>
      <c r="C53" s="15" t="s">
        <v>263</v>
      </c>
      <c r="D53" s="15" t="s">
        <v>131</v>
      </c>
      <c r="E53" s="16" t="s">
        <v>66</v>
      </c>
      <c r="F53" s="21" t="s">
        <v>157</v>
      </c>
      <c r="G53" s="20">
        <v>4436</v>
      </c>
      <c r="H53" s="17">
        <v>4658</v>
      </c>
      <c r="I53" s="17">
        <v>4891</v>
      </c>
      <c r="J53" s="112">
        <f t="shared" si="1"/>
        <v>5282.2800000000007</v>
      </c>
      <c r="K53" s="112">
        <v>5282.2800000000007</v>
      </c>
      <c r="L53" s="17">
        <f t="shared" si="0"/>
        <v>3148.2388800000003</v>
      </c>
      <c r="M53" t="s">
        <v>3246</v>
      </c>
    </row>
    <row r="54" spans="1:13" x14ac:dyDescent="0.25">
      <c r="B54" s="6" t="s">
        <v>2033</v>
      </c>
      <c r="C54" s="15" t="s">
        <v>263</v>
      </c>
      <c r="D54" s="15" t="s">
        <v>132</v>
      </c>
      <c r="E54" s="16" t="s">
        <v>67</v>
      </c>
      <c r="F54" s="21" t="s">
        <v>157</v>
      </c>
      <c r="G54" s="20">
        <v>4507</v>
      </c>
      <c r="H54" s="17">
        <v>4733</v>
      </c>
      <c r="I54" s="17">
        <v>4970</v>
      </c>
      <c r="J54" s="112">
        <f t="shared" si="1"/>
        <v>5367.6</v>
      </c>
      <c r="K54" s="112">
        <v>5367.6</v>
      </c>
      <c r="L54" s="17">
        <f t="shared" si="0"/>
        <v>3199.0896000000002</v>
      </c>
      <c r="M54" t="s">
        <v>3246</v>
      </c>
    </row>
    <row r="55" spans="1:13" x14ac:dyDescent="0.25">
      <c r="B55" s="6" t="s">
        <v>2034</v>
      </c>
      <c r="C55" s="15" t="s">
        <v>263</v>
      </c>
      <c r="D55" s="15" t="s">
        <v>133</v>
      </c>
      <c r="E55" s="16" t="s">
        <v>68</v>
      </c>
      <c r="F55" s="21" t="s">
        <v>157</v>
      </c>
      <c r="G55" s="20">
        <v>4585</v>
      </c>
      <c r="H55" s="17">
        <v>4815</v>
      </c>
      <c r="I55" s="17">
        <v>5056</v>
      </c>
      <c r="J55" s="112">
        <f t="shared" si="1"/>
        <v>5460.4800000000005</v>
      </c>
      <c r="K55" s="112">
        <v>5460.4800000000005</v>
      </c>
      <c r="L55" s="17">
        <f t="shared" si="0"/>
        <v>3254.4460800000002</v>
      </c>
      <c r="M55" t="s">
        <v>3246</v>
      </c>
    </row>
    <row r="56" spans="1:13" x14ac:dyDescent="0.25">
      <c r="A56" s="59" t="s">
        <v>3196</v>
      </c>
      <c r="B56" s="6" t="s">
        <v>2035</v>
      </c>
      <c r="C56" s="15" t="s">
        <v>263</v>
      </c>
      <c r="D56" s="15" t="s">
        <v>134</v>
      </c>
      <c r="E56" s="16" t="s">
        <v>69</v>
      </c>
      <c r="F56" s="21" t="s">
        <v>157</v>
      </c>
      <c r="G56" s="20">
        <v>4826</v>
      </c>
      <c r="H56" s="17">
        <v>5068</v>
      </c>
      <c r="I56" s="17">
        <v>5322</v>
      </c>
      <c r="J56" s="112">
        <f t="shared" si="1"/>
        <v>5747.76</v>
      </c>
      <c r="K56" s="112">
        <v>5747.76</v>
      </c>
      <c r="L56" s="17">
        <f t="shared" si="0"/>
        <v>3425.6649600000001</v>
      </c>
      <c r="M56" t="s">
        <v>3246</v>
      </c>
    </row>
    <row r="57" spans="1:13" x14ac:dyDescent="0.25">
      <c r="B57" s="6" t="s">
        <v>2036</v>
      </c>
      <c r="C57" s="15" t="s">
        <v>263</v>
      </c>
      <c r="D57" s="15" t="s">
        <v>135</v>
      </c>
      <c r="E57" s="16" t="s">
        <v>70</v>
      </c>
      <c r="F57" s="21" t="s">
        <v>493</v>
      </c>
      <c r="G57" s="20">
        <f>5631-517+563</f>
        <v>5677</v>
      </c>
      <c r="H57" s="17">
        <v>5961</v>
      </c>
      <c r="I57" s="17">
        <v>6260</v>
      </c>
      <c r="J57" s="112">
        <f t="shared" si="1"/>
        <v>6760.8</v>
      </c>
      <c r="K57" s="112">
        <v>6760.8</v>
      </c>
      <c r="L57" s="17">
        <f t="shared" si="0"/>
        <v>4029.4367999999999</v>
      </c>
      <c r="M57" t="s">
        <v>3246</v>
      </c>
    </row>
    <row r="58" spans="1:13" x14ac:dyDescent="0.25">
      <c r="B58" s="6" t="s">
        <v>2037</v>
      </c>
      <c r="C58" s="15" t="s">
        <v>263</v>
      </c>
      <c r="D58" s="15" t="s">
        <v>136</v>
      </c>
      <c r="E58" s="16" t="s">
        <v>71</v>
      </c>
      <c r="F58" s="21" t="s">
        <v>493</v>
      </c>
      <c r="G58" s="20">
        <f>5721-517+563</f>
        <v>5767</v>
      </c>
      <c r="H58" s="17">
        <v>6056</v>
      </c>
      <c r="I58" s="17">
        <v>6360</v>
      </c>
      <c r="J58" s="112">
        <f t="shared" si="1"/>
        <v>6868.8</v>
      </c>
      <c r="K58" s="112">
        <v>6868.8</v>
      </c>
      <c r="L58" s="17">
        <f t="shared" si="0"/>
        <v>4093.8047999999999</v>
      </c>
      <c r="M58" t="s">
        <v>3246</v>
      </c>
    </row>
    <row r="59" spans="1:13" x14ac:dyDescent="0.25">
      <c r="B59" s="6" t="s">
        <v>2038</v>
      </c>
      <c r="C59" s="15" t="s">
        <v>263</v>
      </c>
      <c r="D59" s="15" t="s">
        <v>137</v>
      </c>
      <c r="E59" s="16" t="s">
        <v>72</v>
      </c>
      <c r="F59" s="21" t="s">
        <v>494</v>
      </c>
      <c r="G59" s="20">
        <f>6465-517+563</f>
        <v>6511</v>
      </c>
      <c r="H59" s="17">
        <v>6837</v>
      </c>
      <c r="I59" s="17">
        <v>7180</v>
      </c>
      <c r="J59" s="112">
        <f t="shared" si="1"/>
        <v>7754.4000000000005</v>
      </c>
      <c r="K59" s="112">
        <v>7754.4000000000005</v>
      </c>
      <c r="L59" s="17">
        <f t="shared" si="0"/>
        <v>4621.6224000000002</v>
      </c>
      <c r="M59" t="s">
        <v>3246</v>
      </c>
    </row>
    <row r="60" spans="1:13" x14ac:dyDescent="0.25">
      <c r="B60" s="6" t="s">
        <v>2039</v>
      </c>
      <c r="C60" s="15" t="s">
        <v>263</v>
      </c>
      <c r="D60" s="15" t="s">
        <v>146</v>
      </c>
      <c r="E60" s="16" t="s">
        <v>73</v>
      </c>
      <c r="F60" s="21" t="s">
        <v>495</v>
      </c>
      <c r="G60" s="20">
        <f>6576-517+563</f>
        <v>6622</v>
      </c>
      <c r="H60" s="17">
        <v>6954</v>
      </c>
      <c r="I60" s="17">
        <v>3302</v>
      </c>
      <c r="J60" s="112">
        <f t="shared" si="1"/>
        <v>3566.1600000000003</v>
      </c>
      <c r="K60" s="112">
        <v>3566.1600000000003</v>
      </c>
      <c r="L60" s="17">
        <f t="shared" si="0"/>
        <v>2125.43136</v>
      </c>
      <c r="M60" t="s">
        <v>3246</v>
      </c>
    </row>
    <row r="61" spans="1:13" x14ac:dyDescent="0.25">
      <c r="B61" s="6" t="s">
        <v>2040</v>
      </c>
      <c r="C61" s="15" t="s">
        <v>263</v>
      </c>
      <c r="D61" s="15" t="s">
        <v>147</v>
      </c>
      <c r="E61" s="16" t="s">
        <v>74</v>
      </c>
      <c r="F61" s="21" t="s">
        <v>494</v>
      </c>
      <c r="G61" s="20">
        <f>6637-517+563</f>
        <v>6683</v>
      </c>
      <c r="H61" s="17">
        <v>7018</v>
      </c>
      <c r="I61" s="17">
        <v>7370</v>
      </c>
      <c r="J61" s="112">
        <f t="shared" si="1"/>
        <v>7959.6</v>
      </c>
      <c r="K61" s="112">
        <v>7959.6</v>
      </c>
      <c r="L61" s="17">
        <f t="shared" si="0"/>
        <v>4743.9215999999997</v>
      </c>
      <c r="M61" t="s">
        <v>3246</v>
      </c>
    </row>
    <row r="62" spans="1:13" x14ac:dyDescent="0.25">
      <c r="B62" s="6" t="s">
        <v>2041</v>
      </c>
      <c r="C62" s="15" t="s">
        <v>263</v>
      </c>
      <c r="D62" s="15" t="s">
        <v>148</v>
      </c>
      <c r="E62" s="16" t="s">
        <v>75</v>
      </c>
      <c r="F62" s="21" t="s">
        <v>495</v>
      </c>
      <c r="G62" s="20">
        <f>6753-517+563</f>
        <v>6799</v>
      </c>
      <c r="H62" s="17">
        <v>7139</v>
      </c>
      <c r="I62" s="17">
        <v>7500</v>
      </c>
      <c r="J62" s="112">
        <f t="shared" si="1"/>
        <v>8100.0000000000009</v>
      </c>
      <c r="K62" s="112">
        <v>8100.0000000000009</v>
      </c>
      <c r="L62" s="17">
        <f t="shared" si="0"/>
        <v>4827.6000000000004</v>
      </c>
      <c r="M62" t="s">
        <v>3246</v>
      </c>
    </row>
    <row r="63" spans="1:13" x14ac:dyDescent="0.25">
      <c r="B63" s="6" t="s">
        <v>2042</v>
      </c>
      <c r="C63" s="15" t="s">
        <v>263</v>
      </c>
      <c r="D63" s="15" t="s">
        <v>149</v>
      </c>
      <c r="E63" s="16" t="s">
        <v>76</v>
      </c>
      <c r="F63" s="21" t="s">
        <v>495</v>
      </c>
      <c r="G63" s="20">
        <f>7325-517+563</f>
        <v>7371</v>
      </c>
      <c r="H63" s="17">
        <v>7740</v>
      </c>
      <c r="I63" s="17">
        <v>8128</v>
      </c>
      <c r="J63" s="112">
        <f t="shared" si="1"/>
        <v>8778.24</v>
      </c>
      <c r="K63" s="112">
        <v>8778.24</v>
      </c>
      <c r="L63" s="17">
        <f t="shared" si="0"/>
        <v>5231.83104</v>
      </c>
      <c r="M63" t="s">
        <v>3246</v>
      </c>
    </row>
    <row r="64" spans="1:13" s="62" customFormat="1" x14ac:dyDescent="0.25">
      <c r="A64" s="62" t="s">
        <v>2905</v>
      </c>
      <c r="B64" s="67" t="s">
        <v>2904</v>
      </c>
      <c r="C64" s="68"/>
      <c r="D64" s="68"/>
      <c r="E64" s="69"/>
      <c r="F64" s="68"/>
      <c r="G64" s="70"/>
      <c r="H64" s="17"/>
      <c r="I64" s="17">
        <f t="shared" ref="I64" si="3">H64*1.05</f>
        <v>0</v>
      </c>
      <c r="J64" s="113"/>
      <c r="K64" s="70"/>
      <c r="L64" s="70"/>
    </row>
    <row r="65" spans="1:13" x14ac:dyDescent="0.25">
      <c r="A65" s="4"/>
      <c r="B65" s="6" t="s">
        <v>2043</v>
      </c>
      <c r="C65" s="15" t="s">
        <v>331</v>
      </c>
      <c r="D65" s="15" t="s">
        <v>16</v>
      </c>
      <c r="E65" s="16" t="s">
        <v>43</v>
      </c>
      <c r="F65" s="21" t="s">
        <v>158</v>
      </c>
      <c r="G65" s="19">
        <v>4446</v>
      </c>
      <c r="H65" s="17">
        <v>4669</v>
      </c>
      <c r="I65" s="17">
        <v>4903</v>
      </c>
      <c r="J65" s="112">
        <f t="shared" si="1"/>
        <v>5295.2400000000007</v>
      </c>
      <c r="K65" s="112">
        <f>J65*1.11</f>
        <v>5877.7164000000012</v>
      </c>
      <c r="L65" s="17">
        <f t="shared" ref="L65:L128" si="4">K65*0.596</f>
        <v>3503.1189744000008</v>
      </c>
      <c r="M65" t="s">
        <v>4001</v>
      </c>
    </row>
    <row r="66" spans="1:13" x14ac:dyDescent="0.25">
      <c r="A66" s="30"/>
      <c r="B66" s="6" t="s">
        <v>2044</v>
      </c>
      <c r="C66" s="15" t="s">
        <v>331</v>
      </c>
      <c r="D66" s="15" t="s">
        <v>17</v>
      </c>
      <c r="E66" s="16" t="s">
        <v>77</v>
      </c>
      <c r="F66" s="21" t="s">
        <v>158</v>
      </c>
      <c r="G66" s="19">
        <v>4641</v>
      </c>
      <c r="H66" s="17">
        <v>4874</v>
      </c>
      <c r="I66" s="17">
        <v>5118</v>
      </c>
      <c r="J66" s="112">
        <f t="shared" ref="J66:J129" si="5">I66*1.08</f>
        <v>5527.4400000000005</v>
      </c>
      <c r="K66" s="112">
        <f t="shared" ref="K66:K108" si="6">J66*1.11</f>
        <v>6135.4584000000013</v>
      </c>
      <c r="L66" s="17">
        <f t="shared" si="4"/>
        <v>3656.7332064000007</v>
      </c>
      <c r="M66" t="s">
        <v>4001</v>
      </c>
    </row>
    <row r="67" spans="1:13" x14ac:dyDescent="0.25">
      <c r="B67" s="6" t="s">
        <v>2045</v>
      </c>
      <c r="C67" s="15" t="s">
        <v>331</v>
      </c>
      <c r="D67" s="15" t="s">
        <v>18</v>
      </c>
      <c r="E67" s="16" t="s">
        <v>78</v>
      </c>
      <c r="F67" s="21" t="s">
        <v>158</v>
      </c>
      <c r="G67" s="19">
        <v>4304</v>
      </c>
      <c r="H67" s="17">
        <v>4520</v>
      </c>
      <c r="I67" s="17">
        <v>4747</v>
      </c>
      <c r="J67" s="112">
        <f t="shared" si="5"/>
        <v>5126.76</v>
      </c>
      <c r="K67" s="112">
        <f t="shared" si="6"/>
        <v>5690.7036000000007</v>
      </c>
      <c r="L67" s="17">
        <f t="shared" si="4"/>
        <v>3391.6593456000005</v>
      </c>
      <c r="M67" t="s">
        <v>4001</v>
      </c>
    </row>
    <row r="68" spans="1:13" x14ac:dyDescent="0.25">
      <c r="B68" s="6" t="s">
        <v>2046</v>
      </c>
      <c r="C68" s="15" t="s">
        <v>331</v>
      </c>
      <c r="D68" s="15" t="s">
        <v>19</v>
      </c>
      <c r="E68" s="16" t="s">
        <v>79</v>
      </c>
      <c r="F68" s="21" t="s">
        <v>158</v>
      </c>
      <c r="G68" s="19">
        <v>4845</v>
      </c>
      <c r="H68" s="17">
        <v>5088</v>
      </c>
      <c r="I68" s="17">
        <v>5343</v>
      </c>
      <c r="J68" s="112">
        <f t="shared" si="5"/>
        <v>5770.4400000000005</v>
      </c>
      <c r="K68" s="112">
        <f t="shared" si="6"/>
        <v>6405.1884000000009</v>
      </c>
      <c r="L68" s="17">
        <f t="shared" si="4"/>
        <v>3817.4922864000005</v>
      </c>
      <c r="M68" t="s">
        <v>4001</v>
      </c>
    </row>
    <row r="69" spans="1:13" x14ac:dyDescent="0.25">
      <c r="B69" s="6" t="s">
        <v>2047</v>
      </c>
      <c r="C69" s="15" t="s">
        <v>331</v>
      </c>
      <c r="D69" s="15" t="s">
        <v>20</v>
      </c>
      <c r="E69" s="16" t="s">
        <v>80</v>
      </c>
      <c r="F69" s="21" t="s">
        <v>159</v>
      </c>
      <c r="G69" s="19">
        <v>5527</v>
      </c>
      <c r="H69" s="17">
        <v>5804</v>
      </c>
      <c r="I69" s="17">
        <v>6095</v>
      </c>
      <c r="J69" s="112">
        <f t="shared" si="5"/>
        <v>6582.6</v>
      </c>
      <c r="K69" s="112">
        <f t="shared" si="6"/>
        <v>7306.6860000000006</v>
      </c>
      <c r="L69" s="17">
        <f t="shared" si="4"/>
        <v>4354.7848560000002</v>
      </c>
      <c r="M69" t="s">
        <v>4001</v>
      </c>
    </row>
    <row r="70" spans="1:13" x14ac:dyDescent="0.25">
      <c r="B70" s="6" t="s">
        <v>2048</v>
      </c>
      <c r="C70" s="15" t="s">
        <v>331</v>
      </c>
      <c r="D70" s="15" t="s">
        <v>150</v>
      </c>
      <c r="E70" s="16" t="s">
        <v>81</v>
      </c>
      <c r="F70" s="21" t="s">
        <v>159</v>
      </c>
      <c r="G70" s="19">
        <v>5889</v>
      </c>
      <c r="H70" s="17">
        <v>6184</v>
      </c>
      <c r="I70" s="17">
        <v>6500</v>
      </c>
      <c r="J70" s="112">
        <f t="shared" si="5"/>
        <v>7020.0000000000009</v>
      </c>
      <c r="K70" s="112">
        <f t="shared" si="6"/>
        <v>7792.2000000000016</v>
      </c>
      <c r="L70" s="17">
        <f t="shared" si="4"/>
        <v>4644.1512000000012</v>
      </c>
      <c r="M70" t="s">
        <v>4001</v>
      </c>
    </row>
    <row r="71" spans="1:13" x14ac:dyDescent="0.25">
      <c r="B71" s="6" t="s">
        <v>2049</v>
      </c>
      <c r="C71" s="15" t="s">
        <v>331</v>
      </c>
      <c r="D71" s="15" t="s">
        <v>151</v>
      </c>
      <c r="E71" s="16" t="s">
        <v>82</v>
      </c>
      <c r="F71" s="21" t="s">
        <v>159</v>
      </c>
      <c r="G71" s="19">
        <v>6045</v>
      </c>
      <c r="H71" s="17">
        <v>6348</v>
      </c>
      <c r="I71" s="17">
        <v>6666</v>
      </c>
      <c r="J71" s="112">
        <f t="shared" si="5"/>
        <v>7199.2800000000007</v>
      </c>
      <c r="K71" s="112">
        <f t="shared" si="6"/>
        <v>7991.2008000000014</v>
      </c>
      <c r="L71" s="17">
        <f t="shared" si="4"/>
        <v>4762.7556768000004</v>
      </c>
      <c r="M71" t="s">
        <v>4001</v>
      </c>
    </row>
    <row r="72" spans="1:13" x14ac:dyDescent="0.25">
      <c r="B72" s="6" t="s">
        <v>2050</v>
      </c>
      <c r="C72" s="15" t="s">
        <v>331</v>
      </c>
      <c r="D72" s="15" t="s">
        <v>152</v>
      </c>
      <c r="E72" s="16" t="s">
        <v>83</v>
      </c>
      <c r="F72" s="21" t="s">
        <v>160</v>
      </c>
      <c r="G72" s="19">
        <v>6445</v>
      </c>
      <c r="H72" s="17">
        <v>6768</v>
      </c>
      <c r="I72" s="17">
        <v>7107</v>
      </c>
      <c r="J72" s="112">
        <f t="shared" si="5"/>
        <v>7675.56</v>
      </c>
      <c r="K72" s="112">
        <f t="shared" si="6"/>
        <v>8519.8716000000004</v>
      </c>
      <c r="L72" s="17">
        <f t="shared" si="4"/>
        <v>5077.8434735999999</v>
      </c>
      <c r="M72" t="s">
        <v>4001</v>
      </c>
    </row>
    <row r="73" spans="1:13" x14ac:dyDescent="0.25">
      <c r="B73" s="6" t="s">
        <v>2051</v>
      </c>
      <c r="C73" s="15" t="s">
        <v>331</v>
      </c>
      <c r="D73" s="15" t="s">
        <v>153</v>
      </c>
      <c r="E73" s="16" t="s">
        <v>84</v>
      </c>
      <c r="F73" s="21" t="s">
        <v>160</v>
      </c>
      <c r="G73" s="19">
        <v>6620</v>
      </c>
      <c r="H73" s="17">
        <v>6952</v>
      </c>
      <c r="I73" s="17">
        <v>7300</v>
      </c>
      <c r="J73" s="112">
        <f t="shared" si="5"/>
        <v>7884.0000000000009</v>
      </c>
      <c r="K73" s="112">
        <f t="shared" si="6"/>
        <v>8751.2400000000016</v>
      </c>
      <c r="L73" s="17">
        <f t="shared" si="4"/>
        <v>5215.7390400000004</v>
      </c>
      <c r="M73" t="s">
        <v>4001</v>
      </c>
    </row>
    <row r="74" spans="1:13" x14ac:dyDescent="0.25">
      <c r="B74" s="6" t="s">
        <v>2052</v>
      </c>
      <c r="C74" s="15" t="s">
        <v>331</v>
      </c>
      <c r="D74" s="15" t="s">
        <v>154</v>
      </c>
      <c r="E74" s="16" t="s">
        <v>85</v>
      </c>
      <c r="F74" s="21" t="s">
        <v>160</v>
      </c>
      <c r="G74" s="19">
        <v>6634</v>
      </c>
      <c r="H74" s="17">
        <v>6966</v>
      </c>
      <c r="I74" s="17">
        <v>7315</v>
      </c>
      <c r="J74" s="112">
        <f t="shared" si="5"/>
        <v>7900.2000000000007</v>
      </c>
      <c r="K74" s="112">
        <f t="shared" si="6"/>
        <v>8769.2220000000016</v>
      </c>
      <c r="L74" s="17">
        <f t="shared" si="4"/>
        <v>5226.4563120000012</v>
      </c>
      <c r="M74" t="s">
        <v>4001</v>
      </c>
    </row>
    <row r="75" spans="1:13" x14ac:dyDescent="0.25">
      <c r="B75" s="6" t="s">
        <v>2053</v>
      </c>
      <c r="C75" s="15" t="s">
        <v>331</v>
      </c>
      <c r="D75" s="15" t="s">
        <v>155</v>
      </c>
      <c r="E75" s="16" t="s">
        <v>86</v>
      </c>
      <c r="F75" s="21" t="s">
        <v>160</v>
      </c>
      <c r="G75" s="19">
        <v>6758</v>
      </c>
      <c r="H75" s="17">
        <v>7096</v>
      </c>
      <c r="I75" s="17">
        <v>7451</v>
      </c>
      <c r="J75" s="112">
        <f t="shared" si="5"/>
        <v>8047.0800000000008</v>
      </c>
      <c r="K75" s="112">
        <f t="shared" si="6"/>
        <v>8932.2588000000014</v>
      </c>
      <c r="L75" s="17">
        <f t="shared" si="4"/>
        <v>5323.6262448000007</v>
      </c>
      <c r="M75" t="s">
        <v>4001</v>
      </c>
    </row>
    <row r="76" spans="1:13" x14ac:dyDescent="0.25">
      <c r="A76" t="s">
        <v>3194</v>
      </c>
      <c r="B76" s="6" t="s">
        <v>2054</v>
      </c>
      <c r="C76" s="15" t="s">
        <v>331</v>
      </c>
      <c r="D76" s="15" t="s">
        <v>22</v>
      </c>
      <c r="E76" s="16" t="s">
        <v>87</v>
      </c>
      <c r="F76" s="21" t="s">
        <v>161</v>
      </c>
      <c r="G76" s="19">
        <v>4907</v>
      </c>
      <c r="H76" s="17">
        <v>5153</v>
      </c>
      <c r="I76" s="17">
        <v>5411</v>
      </c>
      <c r="J76" s="112">
        <f t="shared" si="5"/>
        <v>5843.88</v>
      </c>
      <c r="K76" s="112">
        <f t="shared" si="6"/>
        <v>6486.7068000000008</v>
      </c>
      <c r="L76" s="17">
        <f t="shared" si="4"/>
        <v>3866.0772528000002</v>
      </c>
      <c r="M76" t="s">
        <v>4001</v>
      </c>
    </row>
    <row r="77" spans="1:13" x14ac:dyDescent="0.25">
      <c r="B77" s="6" t="s">
        <v>2055</v>
      </c>
      <c r="C77" s="15" t="s">
        <v>331</v>
      </c>
      <c r="D77" s="15" t="s">
        <v>23</v>
      </c>
      <c r="E77" s="16" t="s">
        <v>88</v>
      </c>
      <c r="F77" s="21" t="s">
        <v>161</v>
      </c>
      <c r="G77" s="19">
        <v>4975</v>
      </c>
      <c r="H77" s="17">
        <v>5224</v>
      </c>
      <c r="I77" s="17">
        <v>5500</v>
      </c>
      <c r="J77" s="112">
        <f t="shared" si="5"/>
        <v>5940</v>
      </c>
      <c r="K77" s="112">
        <f t="shared" si="6"/>
        <v>6593.4000000000005</v>
      </c>
      <c r="L77" s="17">
        <f t="shared" si="4"/>
        <v>3929.6664000000001</v>
      </c>
      <c r="M77" t="s">
        <v>4001</v>
      </c>
    </row>
    <row r="78" spans="1:13" x14ac:dyDescent="0.25">
      <c r="B78" s="6" t="s">
        <v>2056</v>
      </c>
      <c r="C78" s="15" t="s">
        <v>331</v>
      </c>
      <c r="D78" s="15" t="s">
        <v>24</v>
      </c>
      <c r="E78" s="16" t="s">
        <v>89</v>
      </c>
      <c r="F78" s="21" t="s">
        <v>161</v>
      </c>
      <c r="G78" s="19">
        <v>5110</v>
      </c>
      <c r="H78" s="17">
        <v>5366</v>
      </c>
      <c r="I78" s="17">
        <v>5635</v>
      </c>
      <c r="J78" s="112">
        <f t="shared" si="5"/>
        <v>6085.8</v>
      </c>
      <c r="K78" s="112">
        <f t="shared" si="6"/>
        <v>6755.2380000000012</v>
      </c>
      <c r="L78" s="17">
        <f t="shared" si="4"/>
        <v>4026.1218480000007</v>
      </c>
      <c r="M78" t="s">
        <v>4001</v>
      </c>
    </row>
    <row r="79" spans="1:13" x14ac:dyDescent="0.25">
      <c r="B79" s="6" t="s">
        <v>2057</v>
      </c>
      <c r="C79" s="15" t="s">
        <v>331</v>
      </c>
      <c r="D79" s="15" t="s">
        <v>120</v>
      </c>
      <c r="E79" s="16" t="s">
        <v>90</v>
      </c>
      <c r="F79" s="21" t="s">
        <v>161</v>
      </c>
      <c r="G79" s="19">
        <v>5184</v>
      </c>
      <c r="H79" s="17">
        <v>5444</v>
      </c>
      <c r="I79" s="17">
        <v>5717</v>
      </c>
      <c r="J79" s="112">
        <f t="shared" si="5"/>
        <v>6174.3600000000006</v>
      </c>
      <c r="K79" s="112">
        <f t="shared" si="6"/>
        <v>6853.539600000001</v>
      </c>
      <c r="L79" s="17">
        <f t="shared" si="4"/>
        <v>4084.7096016000005</v>
      </c>
      <c r="M79" t="s">
        <v>4001</v>
      </c>
    </row>
    <row r="80" spans="1:13" x14ac:dyDescent="0.25">
      <c r="B80" s="6" t="s">
        <v>2058</v>
      </c>
      <c r="C80" s="15" t="s">
        <v>331</v>
      </c>
      <c r="D80" s="15" t="s">
        <v>121</v>
      </c>
      <c r="E80" s="16" t="s">
        <v>91</v>
      </c>
      <c r="F80" s="21" t="s">
        <v>162</v>
      </c>
      <c r="G80" s="19">
        <v>5925</v>
      </c>
      <c r="H80" s="17">
        <v>6222</v>
      </c>
      <c r="I80" s="17">
        <v>6534</v>
      </c>
      <c r="J80" s="112">
        <f t="shared" si="5"/>
        <v>7056.72</v>
      </c>
      <c r="K80" s="112">
        <f t="shared" si="6"/>
        <v>7832.9592000000011</v>
      </c>
      <c r="L80" s="17">
        <f t="shared" si="4"/>
        <v>4668.4436832000001</v>
      </c>
      <c r="M80" t="s">
        <v>4001</v>
      </c>
    </row>
    <row r="81" spans="1:13" x14ac:dyDescent="0.25">
      <c r="B81" s="6" t="s">
        <v>2059</v>
      </c>
      <c r="C81" s="15" t="s">
        <v>331</v>
      </c>
      <c r="D81" s="15" t="s">
        <v>122</v>
      </c>
      <c r="E81" s="16" t="s">
        <v>92</v>
      </c>
      <c r="F81" s="21" t="s">
        <v>162</v>
      </c>
      <c r="G81" s="19">
        <v>9555</v>
      </c>
      <c r="H81" s="17">
        <v>10033</v>
      </c>
      <c r="I81" s="17">
        <v>10535</v>
      </c>
      <c r="J81" s="112">
        <f t="shared" si="5"/>
        <v>11377.800000000001</v>
      </c>
      <c r="K81" s="112">
        <f t="shared" si="6"/>
        <v>12629.358000000002</v>
      </c>
      <c r="L81" s="17">
        <f t="shared" si="4"/>
        <v>7527.0973680000006</v>
      </c>
      <c r="M81" t="s">
        <v>4001</v>
      </c>
    </row>
    <row r="82" spans="1:13" x14ac:dyDescent="0.25">
      <c r="B82" s="6" t="s">
        <v>2060</v>
      </c>
      <c r="C82" s="15" t="s">
        <v>331</v>
      </c>
      <c r="D82" s="15" t="s">
        <v>123</v>
      </c>
      <c r="E82" s="16" t="s">
        <v>93</v>
      </c>
      <c r="F82" s="21" t="s">
        <v>162</v>
      </c>
      <c r="G82" s="19">
        <v>6117</v>
      </c>
      <c r="H82" s="17">
        <v>6423</v>
      </c>
      <c r="I82" s="17">
        <v>6745</v>
      </c>
      <c r="J82" s="112">
        <f t="shared" si="5"/>
        <v>7284.6</v>
      </c>
      <c r="K82" s="112">
        <f t="shared" si="6"/>
        <v>8085.9060000000009</v>
      </c>
      <c r="L82" s="17">
        <f t="shared" si="4"/>
        <v>4819.1999759999999</v>
      </c>
      <c r="M82" t="s">
        <v>4001</v>
      </c>
    </row>
    <row r="83" spans="1:13" x14ac:dyDescent="0.25">
      <c r="B83" s="6" t="s">
        <v>2061</v>
      </c>
      <c r="C83" s="15" t="s">
        <v>331</v>
      </c>
      <c r="D83" s="15" t="s">
        <v>138</v>
      </c>
      <c r="E83" s="16" t="s">
        <v>94</v>
      </c>
      <c r="F83" s="21" t="s">
        <v>163</v>
      </c>
      <c r="G83" s="19">
        <v>7006</v>
      </c>
      <c r="H83" s="17">
        <v>7357</v>
      </c>
      <c r="I83" s="17">
        <v>7725</v>
      </c>
      <c r="J83" s="112">
        <f t="shared" si="5"/>
        <v>8343</v>
      </c>
      <c r="K83" s="112">
        <f t="shared" si="6"/>
        <v>9260.7300000000014</v>
      </c>
      <c r="L83" s="17">
        <f t="shared" si="4"/>
        <v>5519.3950800000002</v>
      </c>
      <c r="M83" t="s">
        <v>4001</v>
      </c>
    </row>
    <row r="84" spans="1:13" x14ac:dyDescent="0.25">
      <c r="B84" s="6" t="s">
        <v>2062</v>
      </c>
      <c r="C84" s="15" t="s">
        <v>331</v>
      </c>
      <c r="D84" s="15" t="s">
        <v>139</v>
      </c>
      <c r="E84" s="16" t="s">
        <v>95</v>
      </c>
      <c r="F84" s="21" t="s">
        <v>163</v>
      </c>
      <c r="G84" s="19">
        <v>7221</v>
      </c>
      <c r="H84" s="17">
        <v>7853</v>
      </c>
      <c r="I84" s="17">
        <v>8250</v>
      </c>
      <c r="J84" s="112">
        <f t="shared" si="5"/>
        <v>8910</v>
      </c>
      <c r="K84" s="112">
        <f t="shared" si="6"/>
        <v>9890.1</v>
      </c>
      <c r="L84" s="17">
        <f t="shared" si="4"/>
        <v>5894.4996000000001</v>
      </c>
      <c r="M84" t="s">
        <v>4001</v>
      </c>
    </row>
    <row r="85" spans="1:13" x14ac:dyDescent="0.25">
      <c r="B85" s="6" t="s">
        <v>2063</v>
      </c>
      <c r="C85" s="15" t="s">
        <v>331</v>
      </c>
      <c r="D85" s="15" t="s">
        <v>140</v>
      </c>
      <c r="E85" s="16" t="s">
        <v>96</v>
      </c>
      <c r="F85" s="21" t="s">
        <v>163</v>
      </c>
      <c r="G85" s="19">
        <v>7311</v>
      </c>
      <c r="H85" s="17">
        <v>7677</v>
      </c>
      <c r="I85" s="17">
        <v>8061</v>
      </c>
      <c r="J85" s="112">
        <f t="shared" si="5"/>
        <v>8705.880000000001</v>
      </c>
      <c r="K85" s="112">
        <f t="shared" si="6"/>
        <v>9663.5268000000015</v>
      </c>
      <c r="L85" s="17">
        <f t="shared" si="4"/>
        <v>5759.4619728000007</v>
      </c>
      <c r="M85" t="s">
        <v>4001</v>
      </c>
    </row>
    <row r="86" spans="1:13" x14ac:dyDescent="0.25">
      <c r="B86" s="6" t="s">
        <v>2064</v>
      </c>
      <c r="C86" s="15" t="s">
        <v>331</v>
      </c>
      <c r="D86" s="15" t="s">
        <v>141</v>
      </c>
      <c r="E86" s="16" t="s">
        <v>97</v>
      </c>
      <c r="F86" s="21" t="s">
        <v>163</v>
      </c>
      <c r="G86" s="19">
        <v>7495</v>
      </c>
      <c r="H86" s="17">
        <v>7870</v>
      </c>
      <c r="I86" s="17">
        <v>8264</v>
      </c>
      <c r="J86" s="112">
        <f t="shared" si="5"/>
        <v>8925.1200000000008</v>
      </c>
      <c r="K86" s="112">
        <f t="shared" si="6"/>
        <v>9906.883200000002</v>
      </c>
      <c r="L86" s="17">
        <f t="shared" si="4"/>
        <v>5904.5023872000011</v>
      </c>
      <c r="M86" t="s">
        <v>4001</v>
      </c>
    </row>
    <row r="87" spans="1:13" x14ac:dyDescent="0.25">
      <c r="B87" s="6" t="s">
        <v>2065</v>
      </c>
      <c r="C87" s="15" t="s">
        <v>331</v>
      </c>
      <c r="D87" s="15" t="s">
        <v>124</v>
      </c>
      <c r="E87" s="16" t="s">
        <v>98</v>
      </c>
      <c r="F87" s="21" t="s">
        <v>161</v>
      </c>
      <c r="G87" s="19">
        <v>4975</v>
      </c>
      <c r="H87" s="17">
        <v>5224</v>
      </c>
      <c r="I87" s="17">
        <v>5486</v>
      </c>
      <c r="J87" s="112">
        <f t="shared" si="5"/>
        <v>5924.88</v>
      </c>
      <c r="K87" s="112">
        <f t="shared" si="6"/>
        <v>6576.6168000000007</v>
      </c>
      <c r="L87" s="17">
        <f t="shared" si="4"/>
        <v>3919.6636128000005</v>
      </c>
      <c r="M87" t="s">
        <v>4001</v>
      </c>
    </row>
    <row r="88" spans="1:13" x14ac:dyDescent="0.25">
      <c r="B88" s="6" t="s">
        <v>2066</v>
      </c>
      <c r="C88" s="15" t="s">
        <v>331</v>
      </c>
      <c r="D88" s="15" t="s">
        <v>125</v>
      </c>
      <c r="E88" s="16" t="s">
        <v>99</v>
      </c>
      <c r="F88" s="21" t="s">
        <v>161</v>
      </c>
      <c r="G88" s="19">
        <v>5044</v>
      </c>
      <c r="H88" s="17">
        <v>5297</v>
      </c>
      <c r="I88" s="17">
        <v>5562</v>
      </c>
      <c r="J88" s="112">
        <f t="shared" si="5"/>
        <v>6006.96</v>
      </c>
      <c r="K88" s="112">
        <f t="shared" si="6"/>
        <v>6667.7256000000007</v>
      </c>
      <c r="L88" s="17">
        <f t="shared" si="4"/>
        <v>3973.9644576000001</v>
      </c>
      <c r="M88" t="s">
        <v>4001</v>
      </c>
    </row>
    <row r="89" spans="1:13" x14ac:dyDescent="0.25">
      <c r="B89" s="6" t="s">
        <v>2067</v>
      </c>
      <c r="C89" s="15" t="s">
        <v>331</v>
      </c>
      <c r="D89" s="15" t="s">
        <v>126</v>
      </c>
      <c r="E89" s="16" t="s">
        <v>100</v>
      </c>
      <c r="F89" s="21" t="s">
        <v>161</v>
      </c>
      <c r="G89" s="19">
        <v>5184</v>
      </c>
      <c r="H89" s="17">
        <v>5444</v>
      </c>
      <c r="I89" s="17">
        <v>5717</v>
      </c>
      <c r="J89" s="112">
        <f t="shared" si="5"/>
        <v>6174.3600000000006</v>
      </c>
      <c r="K89" s="112">
        <f t="shared" si="6"/>
        <v>6853.539600000001</v>
      </c>
      <c r="L89" s="17">
        <f t="shared" si="4"/>
        <v>4084.7096016000005</v>
      </c>
      <c r="M89" t="s">
        <v>4001</v>
      </c>
    </row>
    <row r="90" spans="1:13" x14ac:dyDescent="0.25">
      <c r="A90" t="s">
        <v>3192</v>
      </c>
      <c r="B90" s="6" t="s">
        <v>2068</v>
      </c>
      <c r="C90" s="15" t="s">
        <v>331</v>
      </c>
      <c r="D90" s="15" t="s">
        <v>127</v>
      </c>
      <c r="E90" s="16" t="s">
        <v>101</v>
      </c>
      <c r="F90" s="21" t="s">
        <v>161</v>
      </c>
      <c r="G90" s="19">
        <v>5259</v>
      </c>
      <c r="H90" s="17">
        <v>5522</v>
      </c>
      <c r="I90" s="17">
        <v>5800</v>
      </c>
      <c r="J90" s="112">
        <f t="shared" si="5"/>
        <v>6264</v>
      </c>
      <c r="K90" s="112">
        <f t="shared" si="6"/>
        <v>6953.0400000000009</v>
      </c>
      <c r="L90" s="17">
        <f t="shared" si="4"/>
        <v>4144.0118400000001</v>
      </c>
      <c r="M90" t="s">
        <v>4001</v>
      </c>
    </row>
    <row r="91" spans="1:13" x14ac:dyDescent="0.25">
      <c r="B91" s="6" t="s">
        <v>2069</v>
      </c>
      <c r="C91" s="15" t="s">
        <v>331</v>
      </c>
      <c r="D91" s="15" t="s">
        <v>128</v>
      </c>
      <c r="E91" s="16" t="s">
        <v>102</v>
      </c>
      <c r="F91" s="21" t="s">
        <v>162</v>
      </c>
      <c r="G91" s="19">
        <v>5806</v>
      </c>
      <c r="H91" s="17">
        <v>6097</v>
      </c>
      <c r="I91" s="17">
        <v>6402</v>
      </c>
      <c r="J91" s="112">
        <f t="shared" si="5"/>
        <v>6914.1600000000008</v>
      </c>
      <c r="K91" s="112">
        <f t="shared" si="6"/>
        <v>7674.7176000000018</v>
      </c>
      <c r="L91" s="17">
        <f t="shared" si="4"/>
        <v>4574.1316896000008</v>
      </c>
      <c r="M91" t="s">
        <v>4001</v>
      </c>
    </row>
    <row r="92" spans="1:13" x14ac:dyDescent="0.25">
      <c r="B92" s="6" t="s">
        <v>2070</v>
      </c>
      <c r="C92" s="15" t="s">
        <v>331</v>
      </c>
      <c r="D92" s="15" t="s">
        <v>129</v>
      </c>
      <c r="E92" s="16" t="s">
        <v>103</v>
      </c>
      <c r="F92" s="21" t="s">
        <v>162</v>
      </c>
      <c r="G92" s="19">
        <v>6892</v>
      </c>
      <c r="H92" s="17">
        <v>7237</v>
      </c>
      <c r="I92" s="17">
        <v>7600</v>
      </c>
      <c r="J92" s="112">
        <f t="shared" si="5"/>
        <v>8208</v>
      </c>
      <c r="K92" s="112">
        <f t="shared" si="6"/>
        <v>9110.880000000001</v>
      </c>
      <c r="L92" s="17">
        <f t="shared" si="4"/>
        <v>5430.0844800000004</v>
      </c>
      <c r="M92" t="s">
        <v>4001</v>
      </c>
    </row>
    <row r="93" spans="1:13" x14ac:dyDescent="0.25">
      <c r="B93" s="6" t="s">
        <v>2071</v>
      </c>
      <c r="C93" s="15" t="s">
        <v>331</v>
      </c>
      <c r="D93" s="15" t="s">
        <v>130</v>
      </c>
      <c r="E93" s="16" t="s">
        <v>104</v>
      </c>
      <c r="F93" s="21" t="s">
        <v>162</v>
      </c>
      <c r="G93" s="19">
        <v>7095</v>
      </c>
      <c r="H93" s="17">
        <v>7450</v>
      </c>
      <c r="I93" s="17">
        <v>7823</v>
      </c>
      <c r="J93" s="112">
        <f t="shared" si="5"/>
        <v>8448.84</v>
      </c>
      <c r="K93" s="112">
        <f t="shared" si="6"/>
        <v>9378.2124000000003</v>
      </c>
      <c r="L93" s="17">
        <f t="shared" si="4"/>
        <v>5589.4145903999997</v>
      </c>
      <c r="M93" t="s">
        <v>4001</v>
      </c>
    </row>
    <row r="94" spans="1:13" x14ac:dyDescent="0.25">
      <c r="B94" s="6" t="s">
        <v>2072</v>
      </c>
      <c r="C94" s="15" t="s">
        <v>331</v>
      </c>
      <c r="D94" s="15" t="s">
        <v>142</v>
      </c>
      <c r="E94" s="16" t="s">
        <v>105</v>
      </c>
      <c r="F94" s="21" t="s">
        <v>163</v>
      </c>
      <c r="G94" s="19">
        <v>8038</v>
      </c>
      <c r="H94" s="17">
        <v>8440</v>
      </c>
      <c r="I94" s="17">
        <v>8863</v>
      </c>
      <c r="J94" s="112">
        <f t="shared" si="5"/>
        <v>9572.0400000000009</v>
      </c>
      <c r="K94" s="112">
        <f t="shared" si="6"/>
        <v>10624.964400000003</v>
      </c>
      <c r="L94" s="17">
        <f t="shared" si="4"/>
        <v>6332.4787824000014</v>
      </c>
      <c r="M94" t="s">
        <v>4001</v>
      </c>
    </row>
    <row r="95" spans="1:13" x14ac:dyDescent="0.25">
      <c r="B95" s="6" t="s">
        <v>2073</v>
      </c>
      <c r="C95" s="15" t="s">
        <v>331</v>
      </c>
      <c r="D95" s="15" t="s">
        <v>143</v>
      </c>
      <c r="E95" s="16" t="s">
        <v>106</v>
      </c>
      <c r="F95" s="21" t="s">
        <v>163</v>
      </c>
      <c r="G95" s="19">
        <v>8145</v>
      </c>
      <c r="H95" s="17">
        <v>8553</v>
      </c>
      <c r="I95" s="17">
        <v>8981</v>
      </c>
      <c r="J95" s="112">
        <f t="shared" si="5"/>
        <v>9699.4800000000014</v>
      </c>
      <c r="K95" s="112">
        <f t="shared" si="6"/>
        <v>10766.422800000002</v>
      </c>
      <c r="L95" s="17">
        <f t="shared" si="4"/>
        <v>6416.7879888000007</v>
      </c>
      <c r="M95" t="s">
        <v>4001</v>
      </c>
    </row>
    <row r="96" spans="1:13" x14ac:dyDescent="0.25">
      <c r="B96" s="6" t="s">
        <v>2074</v>
      </c>
      <c r="C96" s="15" t="s">
        <v>331</v>
      </c>
      <c r="D96" s="15" t="s">
        <v>144</v>
      </c>
      <c r="E96" s="16" t="s">
        <v>107</v>
      </c>
      <c r="F96" s="21" t="s">
        <v>163</v>
      </c>
      <c r="G96" s="19">
        <v>8744</v>
      </c>
      <c r="H96" s="17">
        <v>9182</v>
      </c>
      <c r="I96" s="17">
        <v>9642</v>
      </c>
      <c r="J96" s="112">
        <f t="shared" si="5"/>
        <v>10413.36</v>
      </c>
      <c r="K96" s="112">
        <f t="shared" si="6"/>
        <v>11558.829600000001</v>
      </c>
      <c r="L96" s="17">
        <f t="shared" si="4"/>
        <v>6889.0624416000001</v>
      </c>
      <c r="M96" t="s">
        <v>4001</v>
      </c>
    </row>
    <row r="97" spans="1:13" x14ac:dyDescent="0.25">
      <c r="B97" s="6" t="s">
        <v>2075</v>
      </c>
      <c r="C97" s="15" t="s">
        <v>331</v>
      </c>
      <c r="D97" s="15" t="s">
        <v>145</v>
      </c>
      <c r="E97" s="16" t="s">
        <v>108</v>
      </c>
      <c r="F97" s="21" t="s">
        <v>163</v>
      </c>
      <c r="G97" s="19">
        <v>8875</v>
      </c>
      <c r="H97" s="17">
        <v>9319</v>
      </c>
      <c r="I97" s="17">
        <v>9785</v>
      </c>
      <c r="J97" s="112">
        <f t="shared" si="5"/>
        <v>10567.800000000001</v>
      </c>
      <c r="K97" s="112">
        <f t="shared" si="6"/>
        <v>11730.258000000002</v>
      </c>
      <c r="L97" s="17">
        <f t="shared" si="4"/>
        <v>6991.233768000001</v>
      </c>
      <c r="M97" t="s">
        <v>4001</v>
      </c>
    </row>
    <row r="98" spans="1:13" x14ac:dyDescent="0.25">
      <c r="B98" s="6" t="s">
        <v>2076</v>
      </c>
      <c r="C98" s="15" t="s">
        <v>331</v>
      </c>
      <c r="D98" s="15" t="s">
        <v>131</v>
      </c>
      <c r="E98" s="16" t="s">
        <v>109</v>
      </c>
      <c r="F98" s="21" t="s">
        <v>161</v>
      </c>
      <c r="G98" s="19">
        <v>5044</v>
      </c>
      <c r="H98" s="17">
        <v>5297</v>
      </c>
      <c r="I98" s="17">
        <v>5562</v>
      </c>
      <c r="J98" s="112">
        <f t="shared" si="5"/>
        <v>6006.96</v>
      </c>
      <c r="K98" s="112">
        <f t="shared" si="6"/>
        <v>6667.7256000000007</v>
      </c>
      <c r="L98" s="17">
        <f t="shared" si="4"/>
        <v>3973.9644576000001</v>
      </c>
      <c r="M98" t="s">
        <v>4001</v>
      </c>
    </row>
    <row r="99" spans="1:13" x14ac:dyDescent="0.25">
      <c r="B99" s="6" t="s">
        <v>2077</v>
      </c>
      <c r="C99" s="15" t="s">
        <v>331</v>
      </c>
      <c r="D99" s="15" t="s">
        <v>132</v>
      </c>
      <c r="E99" s="16" t="s">
        <v>110</v>
      </c>
      <c r="F99" s="21" t="s">
        <v>161</v>
      </c>
      <c r="G99" s="19">
        <v>5115</v>
      </c>
      <c r="H99" s="17">
        <v>5371</v>
      </c>
      <c r="I99" s="17">
        <v>5640</v>
      </c>
      <c r="J99" s="112">
        <f t="shared" si="5"/>
        <v>6091.2000000000007</v>
      </c>
      <c r="K99" s="112">
        <f t="shared" si="6"/>
        <v>6761.2320000000018</v>
      </c>
      <c r="L99" s="17">
        <f t="shared" si="4"/>
        <v>4029.6942720000011</v>
      </c>
      <c r="M99" t="s">
        <v>4001</v>
      </c>
    </row>
    <row r="100" spans="1:13" x14ac:dyDescent="0.25">
      <c r="B100" s="6" t="s">
        <v>2078</v>
      </c>
      <c r="C100" s="15" t="s">
        <v>331</v>
      </c>
      <c r="D100" s="15" t="s">
        <v>134</v>
      </c>
      <c r="E100" s="16" t="s">
        <v>111</v>
      </c>
      <c r="F100" s="21" t="s">
        <v>161</v>
      </c>
      <c r="G100" s="19">
        <v>5259</v>
      </c>
      <c r="H100" s="17">
        <v>5522</v>
      </c>
      <c r="I100" s="17">
        <v>5800</v>
      </c>
      <c r="J100" s="112">
        <f t="shared" si="5"/>
        <v>6264</v>
      </c>
      <c r="K100" s="112">
        <f t="shared" si="6"/>
        <v>6953.0400000000009</v>
      </c>
      <c r="L100" s="17">
        <f t="shared" si="4"/>
        <v>4144.0118400000001</v>
      </c>
      <c r="M100" t="s">
        <v>4001</v>
      </c>
    </row>
    <row r="101" spans="1:13" x14ac:dyDescent="0.25">
      <c r="B101" s="6" t="s">
        <v>2079</v>
      </c>
      <c r="C101" s="15" t="s">
        <v>331</v>
      </c>
      <c r="D101" s="15" t="s">
        <v>134</v>
      </c>
      <c r="E101" s="16" t="s">
        <v>112</v>
      </c>
      <c r="F101" s="21" t="s">
        <v>161</v>
      </c>
      <c r="G101" s="19">
        <v>5337</v>
      </c>
      <c r="H101" s="17">
        <v>5604</v>
      </c>
      <c r="I101" s="17">
        <v>5885</v>
      </c>
      <c r="J101" s="112">
        <f t="shared" si="5"/>
        <v>6355.8</v>
      </c>
      <c r="K101" s="112">
        <f t="shared" si="6"/>
        <v>7054.938000000001</v>
      </c>
      <c r="L101" s="17">
        <f t="shared" si="4"/>
        <v>4204.7430480000003</v>
      </c>
      <c r="M101" t="s">
        <v>4001</v>
      </c>
    </row>
    <row r="102" spans="1:13" x14ac:dyDescent="0.25">
      <c r="B102" s="6" t="s">
        <v>2080</v>
      </c>
      <c r="C102" s="15" t="s">
        <v>331</v>
      </c>
      <c r="D102" s="15" t="s">
        <v>135</v>
      </c>
      <c r="E102" s="16" t="s">
        <v>113</v>
      </c>
      <c r="F102" s="21" t="s">
        <v>162</v>
      </c>
      <c r="G102" s="19">
        <v>6892</v>
      </c>
      <c r="H102" s="17">
        <v>7237</v>
      </c>
      <c r="I102" s="17">
        <v>7600</v>
      </c>
      <c r="J102" s="112">
        <f t="shared" si="5"/>
        <v>8208</v>
      </c>
      <c r="K102" s="112">
        <f t="shared" si="6"/>
        <v>9110.880000000001</v>
      </c>
      <c r="L102" s="17">
        <f t="shared" si="4"/>
        <v>5430.0844800000004</v>
      </c>
      <c r="M102" t="s">
        <v>4001</v>
      </c>
    </row>
    <row r="103" spans="1:13" x14ac:dyDescent="0.25">
      <c r="B103" s="6" t="s">
        <v>2081</v>
      </c>
      <c r="C103" s="15" t="s">
        <v>331</v>
      </c>
      <c r="D103" s="15" t="s">
        <v>136</v>
      </c>
      <c r="E103" s="16" t="s">
        <v>114</v>
      </c>
      <c r="F103" s="21" t="s">
        <v>162</v>
      </c>
      <c r="G103" s="20">
        <v>6988</v>
      </c>
      <c r="H103" s="17">
        <v>7338</v>
      </c>
      <c r="I103" s="17">
        <v>7705</v>
      </c>
      <c r="J103" s="112">
        <f t="shared" si="5"/>
        <v>8321.4000000000015</v>
      </c>
      <c r="K103" s="112">
        <f t="shared" si="6"/>
        <v>9236.7540000000026</v>
      </c>
      <c r="L103" s="17">
        <f t="shared" si="4"/>
        <v>5505.1053840000013</v>
      </c>
      <c r="M103" t="s">
        <v>4001</v>
      </c>
    </row>
    <row r="104" spans="1:13" x14ac:dyDescent="0.25">
      <c r="B104" s="6" t="s">
        <v>2082</v>
      </c>
      <c r="C104" s="15" t="s">
        <v>331</v>
      </c>
      <c r="D104" s="15" t="s">
        <v>137</v>
      </c>
      <c r="E104" s="16" t="s">
        <v>115</v>
      </c>
      <c r="F104" s="21" t="s">
        <v>162</v>
      </c>
      <c r="G104" s="20">
        <v>7198</v>
      </c>
      <c r="H104" s="17">
        <v>7558</v>
      </c>
      <c r="I104" s="17">
        <v>7936</v>
      </c>
      <c r="J104" s="112">
        <f t="shared" si="5"/>
        <v>8570.880000000001</v>
      </c>
      <c r="K104" s="112">
        <f t="shared" si="6"/>
        <v>9513.6768000000011</v>
      </c>
      <c r="L104" s="17">
        <f t="shared" si="4"/>
        <v>5670.1513728</v>
      </c>
      <c r="M104" t="s">
        <v>4001</v>
      </c>
    </row>
    <row r="105" spans="1:13" x14ac:dyDescent="0.25">
      <c r="B105" s="6" t="s">
        <v>2083</v>
      </c>
      <c r="C105" s="15" t="s">
        <v>331</v>
      </c>
      <c r="D105" s="15" t="s">
        <v>146</v>
      </c>
      <c r="E105" s="16" t="s">
        <v>116</v>
      </c>
      <c r="F105" s="21" t="s">
        <v>163</v>
      </c>
      <c r="G105" s="20">
        <v>8346</v>
      </c>
      <c r="H105" s="17">
        <v>8764</v>
      </c>
      <c r="I105" s="17">
        <v>9203</v>
      </c>
      <c r="J105" s="112">
        <f t="shared" si="5"/>
        <v>9939.24</v>
      </c>
      <c r="K105" s="112">
        <f t="shared" si="6"/>
        <v>11032.556400000001</v>
      </c>
      <c r="L105" s="17">
        <f t="shared" si="4"/>
        <v>6575.4036144000002</v>
      </c>
      <c r="M105" t="s">
        <v>4001</v>
      </c>
    </row>
    <row r="106" spans="1:13" x14ac:dyDescent="0.25">
      <c r="B106" s="6" t="s">
        <v>2084</v>
      </c>
      <c r="C106" s="15" t="s">
        <v>331</v>
      </c>
      <c r="D106" s="15" t="s">
        <v>156</v>
      </c>
      <c r="E106" s="16" t="s">
        <v>117</v>
      </c>
      <c r="F106" s="21" t="s">
        <v>163</v>
      </c>
      <c r="G106" s="20">
        <v>8462</v>
      </c>
      <c r="H106" s="17">
        <v>8886</v>
      </c>
      <c r="I106" s="17">
        <v>9331</v>
      </c>
      <c r="J106" s="112">
        <f t="shared" si="5"/>
        <v>10077.480000000001</v>
      </c>
      <c r="K106" s="112">
        <f t="shared" si="6"/>
        <v>11186.002800000002</v>
      </c>
      <c r="L106" s="17">
        <f t="shared" si="4"/>
        <v>6666.8576688000012</v>
      </c>
      <c r="M106" t="s">
        <v>4001</v>
      </c>
    </row>
    <row r="107" spans="1:13" x14ac:dyDescent="0.25">
      <c r="B107" s="6" t="s">
        <v>2085</v>
      </c>
      <c r="C107" s="15" t="s">
        <v>331</v>
      </c>
      <c r="D107" s="15" t="s">
        <v>148</v>
      </c>
      <c r="E107" s="16" t="s">
        <v>118</v>
      </c>
      <c r="F107" s="21" t="s">
        <v>163</v>
      </c>
      <c r="G107" s="20">
        <v>8875</v>
      </c>
      <c r="H107" s="17">
        <v>9319</v>
      </c>
      <c r="I107" s="17">
        <v>9785</v>
      </c>
      <c r="J107" s="112">
        <f t="shared" si="5"/>
        <v>10567.800000000001</v>
      </c>
      <c r="K107" s="112">
        <f t="shared" si="6"/>
        <v>11730.258000000002</v>
      </c>
      <c r="L107" s="17">
        <f t="shared" si="4"/>
        <v>6991.233768000001</v>
      </c>
      <c r="M107" t="s">
        <v>4001</v>
      </c>
    </row>
    <row r="108" spans="1:13" x14ac:dyDescent="0.25">
      <c r="B108" s="6" t="s">
        <v>2086</v>
      </c>
      <c r="C108" s="15" t="s">
        <v>331</v>
      </c>
      <c r="D108" s="15" t="s">
        <v>149</v>
      </c>
      <c r="E108" s="16" t="s">
        <v>119</v>
      </c>
      <c r="F108" s="21" t="s">
        <v>163</v>
      </c>
      <c r="G108" s="20">
        <v>9010</v>
      </c>
      <c r="H108" s="17">
        <v>9461</v>
      </c>
      <c r="I108" s="17">
        <v>9935</v>
      </c>
      <c r="J108" s="112">
        <f t="shared" si="5"/>
        <v>10729.800000000001</v>
      </c>
      <c r="K108" s="112">
        <f t="shared" si="6"/>
        <v>11910.078000000003</v>
      </c>
      <c r="L108" s="17">
        <f t="shared" si="4"/>
        <v>7098.4064880000014</v>
      </c>
      <c r="M108" t="s">
        <v>4001</v>
      </c>
    </row>
    <row r="109" spans="1:13" s="62" customFormat="1" x14ac:dyDescent="0.25">
      <c r="A109" s="62" t="s">
        <v>2906</v>
      </c>
      <c r="B109" s="67" t="s">
        <v>2903</v>
      </c>
      <c r="C109" s="68"/>
      <c r="D109" s="68"/>
      <c r="E109" s="69"/>
      <c r="F109" s="68"/>
      <c r="G109" s="70"/>
      <c r="H109" s="17"/>
      <c r="I109" s="17">
        <f t="shared" ref="I109" si="7">H109*1.05</f>
        <v>0</v>
      </c>
      <c r="J109" s="113"/>
      <c r="K109" s="113"/>
      <c r="L109" s="70"/>
    </row>
    <row r="110" spans="1:13" x14ac:dyDescent="0.25">
      <c r="A110" s="4"/>
      <c r="B110" s="14" t="s">
        <v>228</v>
      </c>
      <c r="C110" s="15" t="s">
        <v>264</v>
      </c>
      <c r="D110" s="15" t="s">
        <v>230</v>
      </c>
      <c r="E110" s="16" t="s">
        <v>164</v>
      </c>
      <c r="F110" s="21" t="s">
        <v>157</v>
      </c>
      <c r="G110" s="19">
        <v>3413</v>
      </c>
      <c r="H110" s="17">
        <v>3584</v>
      </c>
      <c r="I110" s="17">
        <v>3764</v>
      </c>
      <c r="J110" s="112">
        <f t="shared" si="5"/>
        <v>4065.1200000000003</v>
      </c>
      <c r="K110" s="112">
        <v>4065.1200000000003</v>
      </c>
      <c r="L110" s="17">
        <f t="shared" si="4"/>
        <v>2422.8115200000002</v>
      </c>
      <c r="M110" t="s">
        <v>3246</v>
      </c>
    </row>
    <row r="111" spans="1:13" x14ac:dyDescent="0.25">
      <c r="A111" s="30"/>
      <c r="B111" s="14" t="s">
        <v>229</v>
      </c>
      <c r="C111" s="15" t="s">
        <v>264</v>
      </c>
      <c r="D111" s="15" t="s">
        <v>231</v>
      </c>
      <c r="E111" s="16" t="s">
        <v>165</v>
      </c>
      <c r="F111" s="21" t="s">
        <v>157</v>
      </c>
      <c r="G111" s="19">
        <v>3545</v>
      </c>
      <c r="H111" s="17">
        <v>3723</v>
      </c>
      <c r="I111" s="17">
        <v>3910</v>
      </c>
      <c r="J111" s="112">
        <f t="shared" si="5"/>
        <v>4222.8</v>
      </c>
      <c r="K111" s="112">
        <v>4222.8</v>
      </c>
      <c r="L111" s="17">
        <f t="shared" si="4"/>
        <v>2516.7887999999998</v>
      </c>
      <c r="M111" t="s">
        <v>3246</v>
      </c>
    </row>
    <row r="112" spans="1:13" x14ac:dyDescent="0.25">
      <c r="B112" s="14" t="s">
        <v>197</v>
      </c>
      <c r="C112" s="15" t="s">
        <v>264</v>
      </c>
      <c r="D112" s="15" t="s">
        <v>232</v>
      </c>
      <c r="E112" s="16" t="s">
        <v>166</v>
      </c>
      <c r="F112" s="21" t="s">
        <v>157</v>
      </c>
      <c r="G112" s="19">
        <v>3679</v>
      </c>
      <c r="H112" s="17">
        <v>3863</v>
      </c>
      <c r="I112" s="17">
        <v>4057</v>
      </c>
      <c r="J112" s="112">
        <f t="shared" si="5"/>
        <v>4381.5600000000004</v>
      </c>
      <c r="K112" s="112">
        <v>4381.5600000000004</v>
      </c>
      <c r="L112" s="17">
        <f t="shared" si="4"/>
        <v>2611.40976</v>
      </c>
      <c r="M112" t="s">
        <v>3246</v>
      </c>
    </row>
    <row r="113" spans="1:13" x14ac:dyDescent="0.25">
      <c r="B113" s="14" t="s">
        <v>198</v>
      </c>
      <c r="C113" s="15" t="s">
        <v>264</v>
      </c>
      <c r="D113" s="15" t="s">
        <v>233</v>
      </c>
      <c r="E113" s="16" t="s">
        <v>167</v>
      </c>
      <c r="F113" s="21" t="s">
        <v>157</v>
      </c>
      <c r="G113" s="19">
        <v>3811</v>
      </c>
      <c r="H113" s="17">
        <f t="shared" ref="H113:H129" si="8">G113*1.05</f>
        <v>4001.55</v>
      </c>
      <c r="I113" s="17">
        <v>4203</v>
      </c>
      <c r="J113" s="112">
        <f t="shared" si="5"/>
        <v>4539.2400000000007</v>
      </c>
      <c r="K113" s="112">
        <v>4539.2400000000007</v>
      </c>
      <c r="L113" s="17">
        <f t="shared" si="4"/>
        <v>2705.3870400000001</v>
      </c>
      <c r="M113" t="s">
        <v>3246</v>
      </c>
    </row>
    <row r="114" spans="1:13" x14ac:dyDescent="0.25">
      <c r="B114" s="14" t="s">
        <v>199</v>
      </c>
      <c r="C114" s="15" t="s">
        <v>264</v>
      </c>
      <c r="D114" s="15" t="s">
        <v>234</v>
      </c>
      <c r="E114" s="16" t="s">
        <v>168</v>
      </c>
      <c r="F114" s="21" t="s">
        <v>493</v>
      </c>
      <c r="G114" s="19">
        <f>4508-517+563</f>
        <v>4554</v>
      </c>
      <c r="H114" s="17">
        <f t="shared" si="8"/>
        <v>4781.7</v>
      </c>
      <c r="I114" s="17">
        <v>5022</v>
      </c>
      <c r="J114" s="112">
        <f t="shared" si="5"/>
        <v>5423.76</v>
      </c>
      <c r="K114" s="112">
        <v>5423.76</v>
      </c>
      <c r="L114" s="17">
        <f t="shared" si="4"/>
        <v>3232.5609599999998</v>
      </c>
      <c r="M114" t="s">
        <v>3246</v>
      </c>
    </row>
    <row r="115" spans="1:13" x14ac:dyDescent="0.25">
      <c r="B115" s="14" t="s">
        <v>200</v>
      </c>
      <c r="C115" s="15" t="s">
        <v>264</v>
      </c>
      <c r="D115" s="15" t="s">
        <v>235</v>
      </c>
      <c r="E115" s="16" t="s">
        <v>169</v>
      </c>
      <c r="F115" s="21" t="s">
        <v>493</v>
      </c>
      <c r="G115" s="19">
        <f>4736-517+563</f>
        <v>4782</v>
      </c>
      <c r="H115" s="17">
        <f t="shared" si="8"/>
        <v>5021.1000000000004</v>
      </c>
      <c r="I115" s="17">
        <v>5280</v>
      </c>
      <c r="J115" s="112">
        <f t="shared" si="5"/>
        <v>5702.4000000000005</v>
      </c>
      <c r="K115" s="112">
        <v>5702.4000000000005</v>
      </c>
      <c r="L115" s="17">
        <f t="shared" si="4"/>
        <v>3398.6304</v>
      </c>
      <c r="M115" t="s">
        <v>3246</v>
      </c>
    </row>
    <row r="116" spans="1:13" x14ac:dyDescent="0.25">
      <c r="B116" s="14" t="s">
        <v>201</v>
      </c>
      <c r="C116" s="15" t="s">
        <v>264</v>
      </c>
      <c r="D116" s="15" t="s">
        <v>236</v>
      </c>
      <c r="E116" s="16" t="s">
        <v>170</v>
      </c>
      <c r="F116" s="21" t="s">
        <v>494</v>
      </c>
      <c r="G116" s="19">
        <f>4820-517+563</f>
        <v>4866</v>
      </c>
      <c r="H116" s="17">
        <f t="shared" si="8"/>
        <v>5109.3</v>
      </c>
      <c r="I116" s="17">
        <v>5370</v>
      </c>
      <c r="J116" s="112">
        <f t="shared" si="5"/>
        <v>5799.6</v>
      </c>
      <c r="K116" s="112">
        <v>5799.6</v>
      </c>
      <c r="L116" s="17">
        <f t="shared" si="4"/>
        <v>3456.5616</v>
      </c>
      <c r="M116" t="s">
        <v>3246</v>
      </c>
    </row>
    <row r="117" spans="1:13" x14ac:dyDescent="0.25">
      <c r="B117" s="14" t="s">
        <v>202</v>
      </c>
      <c r="C117" s="15" t="s">
        <v>264</v>
      </c>
      <c r="D117" s="15" t="s">
        <v>244</v>
      </c>
      <c r="E117" s="16" t="s">
        <v>171</v>
      </c>
      <c r="F117" s="21" t="s">
        <v>495</v>
      </c>
      <c r="G117" s="19">
        <f>4952-517+563</f>
        <v>4998</v>
      </c>
      <c r="H117" s="17">
        <f t="shared" si="8"/>
        <v>5247.9000000000005</v>
      </c>
      <c r="I117" s="17">
        <v>5515</v>
      </c>
      <c r="J117" s="112">
        <f t="shared" si="5"/>
        <v>5956.2000000000007</v>
      </c>
      <c r="K117" s="112">
        <v>5956.2000000000007</v>
      </c>
      <c r="L117" s="17">
        <f t="shared" si="4"/>
        <v>3549.8952000000004</v>
      </c>
      <c r="M117" t="s">
        <v>3246</v>
      </c>
    </row>
    <row r="118" spans="1:13" x14ac:dyDescent="0.25">
      <c r="B118" s="14" t="s">
        <v>203</v>
      </c>
      <c r="C118" s="15" t="s">
        <v>264</v>
      </c>
      <c r="D118" s="15" t="s">
        <v>245</v>
      </c>
      <c r="E118" s="16" t="s">
        <v>172</v>
      </c>
      <c r="F118" s="21" t="s">
        <v>494</v>
      </c>
      <c r="G118" s="19">
        <f>5086-517+563</f>
        <v>5132</v>
      </c>
      <c r="H118" s="17">
        <f t="shared" si="8"/>
        <v>5388.6</v>
      </c>
      <c r="I118" s="17">
        <v>5660</v>
      </c>
      <c r="J118" s="112">
        <f t="shared" si="5"/>
        <v>6112.8</v>
      </c>
      <c r="K118" s="112">
        <v>6112.8</v>
      </c>
      <c r="L118" s="17">
        <f t="shared" si="4"/>
        <v>3643.2287999999999</v>
      </c>
      <c r="M118" t="s">
        <v>3246</v>
      </c>
    </row>
    <row r="119" spans="1:13" x14ac:dyDescent="0.25">
      <c r="B119" s="14" t="s">
        <v>204</v>
      </c>
      <c r="C119" s="15" t="s">
        <v>264</v>
      </c>
      <c r="D119" s="15" t="s">
        <v>246</v>
      </c>
      <c r="E119" s="16" t="s">
        <v>173</v>
      </c>
      <c r="F119" s="21" t="s">
        <v>495</v>
      </c>
      <c r="G119" s="19">
        <f>5219-517+563</f>
        <v>5265</v>
      </c>
      <c r="H119" s="17">
        <f t="shared" si="8"/>
        <v>5528.25</v>
      </c>
      <c r="I119" s="17">
        <v>5810</v>
      </c>
      <c r="J119" s="112">
        <f t="shared" si="5"/>
        <v>6274.8</v>
      </c>
      <c r="K119" s="112">
        <v>6274.8</v>
      </c>
      <c r="L119" s="17">
        <f t="shared" si="4"/>
        <v>3739.7808</v>
      </c>
      <c r="M119" t="s">
        <v>3246</v>
      </c>
    </row>
    <row r="120" spans="1:13" x14ac:dyDescent="0.25">
      <c r="B120" s="14" t="s">
        <v>205</v>
      </c>
      <c r="C120" s="15" t="s">
        <v>264</v>
      </c>
      <c r="D120" s="15" t="s">
        <v>247</v>
      </c>
      <c r="E120" s="16" t="s">
        <v>174</v>
      </c>
      <c r="F120" s="21" t="s">
        <v>495</v>
      </c>
      <c r="G120" s="19">
        <f>5318-517+563</f>
        <v>5364</v>
      </c>
      <c r="H120" s="17">
        <f t="shared" si="8"/>
        <v>5632.2</v>
      </c>
      <c r="I120" s="17">
        <v>5915</v>
      </c>
      <c r="J120" s="112">
        <f t="shared" si="5"/>
        <v>6388.2000000000007</v>
      </c>
      <c r="K120" s="112">
        <v>6388.2000000000007</v>
      </c>
      <c r="L120" s="17">
        <f t="shared" si="4"/>
        <v>3807.3672000000001</v>
      </c>
      <c r="M120" t="s">
        <v>3246</v>
      </c>
    </row>
    <row r="121" spans="1:13" x14ac:dyDescent="0.25">
      <c r="B121" s="14" t="s">
        <v>206</v>
      </c>
      <c r="C121" s="15" t="s">
        <v>264</v>
      </c>
      <c r="D121" s="15" t="s">
        <v>237</v>
      </c>
      <c r="E121" s="16" t="s">
        <v>175</v>
      </c>
      <c r="F121" s="21" t="s">
        <v>157</v>
      </c>
      <c r="G121" s="19">
        <v>3944</v>
      </c>
      <c r="H121" s="17">
        <f t="shared" si="8"/>
        <v>4141.2</v>
      </c>
      <c r="I121" s="17">
        <v>4350</v>
      </c>
      <c r="J121" s="112">
        <f t="shared" si="5"/>
        <v>4698</v>
      </c>
      <c r="K121" s="112">
        <v>4698</v>
      </c>
      <c r="L121" s="17">
        <f t="shared" si="4"/>
        <v>2800.0079999999998</v>
      </c>
      <c r="M121" t="s">
        <v>3246</v>
      </c>
    </row>
    <row r="122" spans="1:13" x14ac:dyDescent="0.25">
      <c r="A122" s="94" t="s">
        <v>3193</v>
      </c>
      <c r="B122" s="14" t="s">
        <v>207</v>
      </c>
      <c r="C122" s="15" t="s">
        <v>264</v>
      </c>
      <c r="D122" s="15" t="s">
        <v>238</v>
      </c>
      <c r="E122" s="16" t="s">
        <v>176</v>
      </c>
      <c r="F122" s="21" t="s">
        <v>157</v>
      </c>
      <c r="G122" s="19">
        <v>4130</v>
      </c>
      <c r="H122" s="17">
        <f t="shared" si="8"/>
        <v>4336.5</v>
      </c>
      <c r="I122" s="17">
        <v>4555</v>
      </c>
      <c r="J122" s="112">
        <f t="shared" si="5"/>
        <v>4919.4000000000005</v>
      </c>
      <c r="K122" s="112">
        <v>4919.4000000000005</v>
      </c>
      <c r="L122" s="17">
        <f t="shared" si="4"/>
        <v>2931.9624000000003</v>
      </c>
      <c r="M122" t="s">
        <v>3246</v>
      </c>
    </row>
    <row r="123" spans="1:13" x14ac:dyDescent="0.25">
      <c r="B123" s="14" t="s">
        <v>208</v>
      </c>
      <c r="C123" s="15" t="s">
        <v>264</v>
      </c>
      <c r="D123" s="15" t="s">
        <v>239</v>
      </c>
      <c r="E123" s="16" t="s">
        <v>177</v>
      </c>
      <c r="F123" s="21" t="s">
        <v>157</v>
      </c>
      <c r="G123" s="19">
        <v>4316</v>
      </c>
      <c r="H123" s="17">
        <f t="shared" si="8"/>
        <v>4531.8</v>
      </c>
      <c r="I123" s="17">
        <v>4760</v>
      </c>
      <c r="J123" s="112">
        <f t="shared" si="5"/>
        <v>5140.8</v>
      </c>
      <c r="K123" s="112">
        <v>5140.8</v>
      </c>
      <c r="L123" s="17">
        <f t="shared" si="4"/>
        <v>3063.9168</v>
      </c>
      <c r="M123" t="s">
        <v>3246</v>
      </c>
    </row>
    <row r="124" spans="1:13" x14ac:dyDescent="0.25">
      <c r="B124" s="14" t="s">
        <v>209</v>
      </c>
      <c r="C124" s="15" t="s">
        <v>264</v>
      </c>
      <c r="D124" s="15" t="s">
        <v>240</v>
      </c>
      <c r="E124" s="16" t="s">
        <v>178</v>
      </c>
      <c r="F124" s="21" t="s">
        <v>157</v>
      </c>
      <c r="G124" s="19">
        <v>4440</v>
      </c>
      <c r="H124" s="17">
        <f t="shared" si="8"/>
        <v>4662</v>
      </c>
      <c r="I124" s="17">
        <v>4900</v>
      </c>
      <c r="J124" s="112">
        <f t="shared" si="5"/>
        <v>5292</v>
      </c>
      <c r="K124" s="112">
        <v>5292</v>
      </c>
      <c r="L124" s="17">
        <f t="shared" si="4"/>
        <v>3154.0319999999997</v>
      </c>
      <c r="M124" t="s">
        <v>3246</v>
      </c>
    </row>
    <row r="125" spans="1:13" x14ac:dyDescent="0.25">
      <c r="B125" s="14" t="s">
        <v>210</v>
      </c>
      <c r="C125" s="15" t="s">
        <v>264</v>
      </c>
      <c r="D125" s="15" t="s">
        <v>241</v>
      </c>
      <c r="E125" s="16" t="s">
        <v>179</v>
      </c>
      <c r="F125" s="21" t="s">
        <v>493</v>
      </c>
      <c r="G125" s="19">
        <f>4688-517+563</f>
        <v>4734</v>
      </c>
      <c r="H125" s="17">
        <f t="shared" si="8"/>
        <v>4970.7</v>
      </c>
      <c r="I125" s="17">
        <v>5220</v>
      </c>
      <c r="J125" s="112">
        <f t="shared" si="5"/>
        <v>5637.6</v>
      </c>
      <c r="K125" s="112">
        <v>5637.6</v>
      </c>
      <c r="L125" s="17">
        <f t="shared" si="4"/>
        <v>3360.0095999999999</v>
      </c>
      <c r="M125" t="s">
        <v>3246</v>
      </c>
    </row>
    <row r="126" spans="1:13" x14ac:dyDescent="0.25">
      <c r="B126" s="14" t="s">
        <v>211</v>
      </c>
      <c r="C126" s="15" t="s">
        <v>264</v>
      </c>
      <c r="D126" s="15" t="s">
        <v>242</v>
      </c>
      <c r="E126" s="16" t="s">
        <v>180</v>
      </c>
      <c r="F126" s="21" t="s">
        <v>493</v>
      </c>
      <c r="G126" s="19">
        <f>5438-517+563</f>
        <v>5484</v>
      </c>
      <c r="H126" s="17">
        <f t="shared" si="8"/>
        <v>5758.2</v>
      </c>
      <c r="I126" s="17">
        <v>6050</v>
      </c>
      <c r="J126" s="112">
        <f t="shared" si="5"/>
        <v>6534</v>
      </c>
      <c r="K126" s="112">
        <v>6534</v>
      </c>
      <c r="L126" s="17">
        <f t="shared" si="4"/>
        <v>3894.2639999999997</v>
      </c>
      <c r="M126" t="s">
        <v>3246</v>
      </c>
    </row>
    <row r="127" spans="1:13" x14ac:dyDescent="0.25">
      <c r="B127" s="14" t="s">
        <v>212</v>
      </c>
      <c r="C127" s="15" t="s">
        <v>264</v>
      </c>
      <c r="D127" s="15" t="s">
        <v>243</v>
      </c>
      <c r="E127" s="16" t="s">
        <v>181</v>
      </c>
      <c r="F127" s="21" t="s">
        <v>494</v>
      </c>
      <c r="G127" s="19">
        <f>5672-517+563</f>
        <v>5718</v>
      </c>
      <c r="H127" s="17">
        <f t="shared" si="8"/>
        <v>6003.9000000000005</v>
      </c>
      <c r="I127" s="17">
        <v>6305</v>
      </c>
      <c r="J127" s="112">
        <f t="shared" si="5"/>
        <v>6809.4000000000005</v>
      </c>
      <c r="K127" s="112">
        <v>6809.4000000000005</v>
      </c>
      <c r="L127" s="17">
        <f t="shared" si="4"/>
        <v>4058.4023999999999</v>
      </c>
      <c r="M127" t="s">
        <v>3246</v>
      </c>
    </row>
    <row r="128" spans="1:13" x14ac:dyDescent="0.25">
      <c r="B128" s="14" t="s">
        <v>213</v>
      </c>
      <c r="C128" s="15" t="s">
        <v>264</v>
      </c>
      <c r="D128" s="15" t="s">
        <v>248</v>
      </c>
      <c r="E128" s="16" t="s">
        <v>182</v>
      </c>
      <c r="F128" s="21" t="s">
        <v>495</v>
      </c>
      <c r="G128" s="19">
        <f>5856-517+563</f>
        <v>5902</v>
      </c>
      <c r="H128" s="17">
        <f t="shared" si="8"/>
        <v>6197.1</v>
      </c>
      <c r="I128" s="17">
        <v>6507</v>
      </c>
      <c r="J128" s="112">
        <f t="shared" si="5"/>
        <v>7027.56</v>
      </c>
      <c r="K128" s="112">
        <v>7027.56</v>
      </c>
      <c r="L128" s="17">
        <f t="shared" si="4"/>
        <v>4188.4257600000001</v>
      </c>
      <c r="M128" t="s">
        <v>3246</v>
      </c>
    </row>
    <row r="129" spans="1:13" x14ac:dyDescent="0.25">
      <c r="B129" s="14" t="s">
        <v>214</v>
      </c>
      <c r="C129" s="15" t="s">
        <v>264</v>
      </c>
      <c r="D129" s="15" t="s">
        <v>249</v>
      </c>
      <c r="E129" s="16" t="s">
        <v>183</v>
      </c>
      <c r="F129" s="21" t="s">
        <v>494</v>
      </c>
      <c r="G129" s="19">
        <f>6042-517+563</f>
        <v>6088</v>
      </c>
      <c r="H129" s="17">
        <f t="shared" si="8"/>
        <v>6392.4000000000005</v>
      </c>
      <c r="I129" s="17">
        <v>6715</v>
      </c>
      <c r="J129" s="112">
        <f t="shared" si="5"/>
        <v>7252.2000000000007</v>
      </c>
      <c r="K129" s="112">
        <v>7252.2000000000007</v>
      </c>
      <c r="L129" s="17">
        <f t="shared" ref="L129:L192" si="9">K129*0.596</f>
        <v>4322.3112000000001</v>
      </c>
      <c r="M129" t="s">
        <v>3246</v>
      </c>
    </row>
    <row r="130" spans="1:13" x14ac:dyDescent="0.25">
      <c r="A130" s="59"/>
      <c r="B130" s="14" t="s">
        <v>215</v>
      </c>
      <c r="C130" s="15" t="s">
        <v>264</v>
      </c>
      <c r="D130" s="15" t="s">
        <v>250</v>
      </c>
      <c r="E130" s="16" t="s">
        <v>184</v>
      </c>
      <c r="F130" s="21" t="s">
        <v>495</v>
      </c>
      <c r="G130" s="19">
        <f>6228-517+563</f>
        <v>6274</v>
      </c>
      <c r="H130" s="17">
        <f t="shared" ref="H130:H193" si="10">G130*1.05</f>
        <v>6587.7000000000007</v>
      </c>
      <c r="I130" s="17">
        <v>6920</v>
      </c>
      <c r="J130" s="112">
        <f t="shared" ref="J130:J193" si="11">I130*1.08</f>
        <v>7473.6</v>
      </c>
      <c r="K130" s="112">
        <v>7473.6</v>
      </c>
      <c r="L130" s="17">
        <f t="shared" si="9"/>
        <v>4454.2655999999997</v>
      </c>
      <c r="M130" t="s">
        <v>3246</v>
      </c>
    </row>
    <row r="131" spans="1:13" x14ac:dyDescent="0.25">
      <c r="B131" s="14" t="s">
        <v>216</v>
      </c>
      <c r="C131" s="15" t="s">
        <v>264</v>
      </c>
      <c r="D131" s="15" t="s">
        <v>251</v>
      </c>
      <c r="E131" s="16" t="s">
        <v>185</v>
      </c>
      <c r="F131" s="21" t="s">
        <v>495</v>
      </c>
      <c r="G131" s="19">
        <f>6367-517+563</f>
        <v>6413</v>
      </c>
      <c r="H131" s="17">
        <f t="shared" si="10"/>
        <v>6733.6500000000005</v>
      </c>
      <c r="I131" s="17">
        <v>7072</v>
      </c>
      <c r="J131" s="112">
        <f t="shared" si="11"/>
        <v>7637.76</v>
      </c>
      <c r="K131" s="112">
        <v>7637.76</v>
      </c>
      <c r="L131" s="17">
        <f t="shared" si="9"/>
        <v>4552.1049599999997</v>
      </c>
      <c r="M131" t="s">
        <v>3246</v>
      </c>
    </row>
    <row r="132" spans="1:13" x14ac:dyDescent="0.25">
      <c r="B132" s="14" t="s">
        <v>217</v>
      </c>
      <c r="C132" s="15" t="s">
        <v>264</v>
      </c>
      <c r="D132" s="15" t="s">
        <v>252</v>
      </c>
      <c r="E132" s="16" t="s">
        <v>186</v>
      </c>
      <c r="F132" s="21" t="s">
        <v>157</v>
      </c>
      <c r="G132" s="19">
        <v>4565</v>
      </c>
      <c r="H132" s="17">
        <f t="shared" si="10"/>
        <v>4793.25</v>
      </c>
      <c r="I132" s="17">
        <v>5050</v>
      </c>
      <c r="J132" s="112">
        <f t="shared" si="11"/>
        <v>5454</v>
      </c>
      <c r="K132" s="112">
        <v>5454</v>
      </c>
      <c r="L132" s="17">
        <f t="shared" si="9"/>
        <v>3250.5839999999998</v>
      </c>
      <c r="M132" t="s">
        <v>3246</v>
      </c>
    </row>
    <row r="133" spans="1:13" x14ac:dyDescent="0.25">
      <c r="B133" s="14" t="s">
        <v>218</v>
      </c>
      <c r="C133" s="15" t="s">
        <v>264</v>
      </c>
      <c r="D133" s="15" t="s">
        <v>253</v>
      </c>
      <c r="E133" s="16" t="s">
        <v>187</v>
      </c>
      <c r="F133" s="21" t="s">
        <v>157</v>
      </c>
      <c r="G133" s="19">
        <v>4813</v>
      </c>
      <c r="H133" s="17">
        <f t="shared" si="10"/>
        <v>5053.6500000000005</v>
      </c>
      <c r="I133" s="17">
        <v>5310</v>
      </c>
      <c r="J133" s="112">
        <f t="shared" si="11"/>
        <v>5734.8</v>
      </c>
      <c r="K133" s="112">
        <v>5734.8</v>
      </c>
      <c r="L133" s="17">
        <f t="shared" si="9"/>
        <v>3417.9407999999999</v>
      </c>
      <c r="M133" t="s">
        <v>3246</v>
      </c>
    </row>
    <row r="134" spans="1:13" x14ac:dyDescent="0.25">
      <c r="A134" s="59"/>
      <c r="B134" s="14" t="s">
        <v>219</v>
      </c>
      <c r="C134" s="15" t="s">
        <v>264</v>
      </c>
      <c r="D134" s="15" t="s">
        <v>254</v>
      </c>
      <c r="E134" s="16" t="s">
        <v>188</v>
      </c>
      <c r="F134" s="21" t="s">
        <v>157</v>
      </c>
      <c r="G134" s="19">
        <v>5060</v>
      </c>
      <c r="H134" s="17">
        <f t="shared" si="10"/>
        <v>5313</v>
      </c>
      <c r="I134" s="17">
        <v>5580</v>
      </c>
      <c r="J134" s="112">
        <f t="shared" si="11"/>
        <v>6026.4000000000005</v>
      </c>
      <c r="K134" s="112">
        <v>6026.4000000000005</v>
      </c>
      <c r="L134" s="17">
        <f t="shared" si="9"/>
        <v>3591.7344000000003</v>
      </c>
      <c r="M134" t="s">
        <v>3246</v>
      </c>
    </row>
    <row r="135" spans="1:13" x14ac:dyDescent="0.25">
      <c r="A135" s="59" t="s">
        <v>3191</v>
      </c>
      <c r="B135" s="14" t="s">
        <v>220</v>
      </c>
      <c r="C135" s="15" t="s">
        <v>264</v>
      </c>
      <c r="D135" s="15" t="s">
        <v>255</v>
      </c>
      <c r="E135" s="16" t="s">
        <v>189</v>
      </c>
      <c r="F135" s="21" t="s">
        <v>157</v>
      </c>
      <c r="G135" s="19">
        <v>5308</v>
      </c>
      <c r="H135" s="17">
        <f t="shared" si="10"/>
        <v>5573.4000000000005</v>
      </c>
      <c r="I135" s="17">
        <v>5855</v>
      </c>
      <c r="J135" s="112">
        <f t="shared" si="11"/>
        <v>6323.4000000000005</v>
      </c>
      <c r="K135" s="112">
        <v>6323.4000000000005</v>
      </c>
      <c r="L135" s="17">
        <f t="shared" si="9"/>
        <v>3768.7464</v>
      </c>
      <c r="M135" t="s">
        <v>3246</v>
      </c>
    </row>
    <row r="136" spans="1:13" x14ac:dyDescent="0.25">
      <c r="B136" s="14" t="s">
        <v>221</v>
      </c>
      <c r="C136" s="15" t="s">
        <v>264</v>
      </c>
      <c r="D136" s="15" t="s">
        <v>256</v>
      </c>
      <c r="E136" s="16" t="s">
        <v>190</v>
      </c>
      <c r="F136" s="21" t="s">
        <v>493</v>
      </c>
      <c r="G136" s="19">
        <f>6120-517+563</f>
        <v>6166</v>
      </c>
      <c r="H136" s="17">
        <f t="shared" si="10"/>
        <v>6474.3</v>
      </c>
      <c r="I136" s="17">
        <v>6800</v>
      </c>
      <c r="J136" s="112">
        <f t="shared" si="11"/>
        <v>7344.0000000000009</v>
      </c>
      <c r="K136" s="112">
        <v>7344.0000000000009</v>
      </c>
      <c r="L136" s="17">
        <f t="shared" si="9"/>
        <v>4377.0240000000003</v>
      </c>
      <c r="M136" t="s">
        <v>3246</v>
      </c>
    </row>
    <row r="137" spans="1:13" x14ac:dyDescent="0.25">
      <c r="B137" s="14" t="s">
        <v>222</v>
      </c>
      <c r="C137" s="15" t="s">
        <v>264</v>
      </c>
      <c r="D137" s="15" t="s">
        <v>257</v>
      </c>
      <c r="E137" s="16" t="s">
        <v>191</v>
      </c>
      <c r="F137" s="21" t="s">
        <v>493</v>
      </c>
      <c r="G137" s="19">
        <f>6368-517+563</f>
        <v>6414</v>
      </c>
      <c r="H137" s="17">
        <f t="shared" si="10"/>
        <v>6734.7000000000007</v>
      </c>
      <c r="I137" s="17">
        <v>7073</v>
      </c>
      <c r="J137" s="112">
        <f t="shared" si="11"/>
        <v>7638.84</v>
      </c>
      <c r="K137" s="112">
        <v>7638.84</v>
      </c>
      <c r="L137" s="17">
        <f t="shared" si="9"/>
        <v>4552.7486399999998</v>
      </c>
      <c r="M137" t="s">
        <v>3246</v>
      </c>
    </row>
    <row r="138" spans="1:13" x14ac:dyDescent="0.25">
      <c r="B138" s="14" t="s">
        <v>223</v>
      </c>
      <c r="C138" s="15" t="s">
        <v>264</v>
      </c>
      <c r="D138" s="15" t="s">
        <v>258</v>
      </c>
      <c r="E138" s="16" t="s">
        <v>192</v>
      </c>
      <c r="F138" s="21" t="s">
        <v>494</v>
      </c>
      <c r="G138" s="20">
        <f>6437-517+563</f>
        <v>6483</v>
      </c>
      <c r="H138" s="17">
        <f t="shared" si="10"/>
        <v>6807.1500000000005</v>
      </c>
      <c r="I138" s="17">
        <v>7150</v>
      </c>
      <c r="J138" s="112">
        <f t="shared" si="11"/>
        <v>7722.0000000000009</v>
      </c>
      <c r="K138" s="112">
        <v>7722.0000000000009</v>
      </c>
      <c r="L138" s="17">
        <f t="shared" si="9"/>
        <v>4602.3119999999999</v>
      </c>
      <c r="M138" t="s">
        <v>3246</v>
      </c>
    </row>
    <row r="139" spans="1:13" x14ac:dyDescent="0.25">
      <c r="B139" s="14" t="s">
        <v>224</v>
      </c>
      <c r="C139" s="15" t="s">
        <v>264</v>
      </c>
      <c r="D139" s="15" t="s">
        <v>259</v>
      </c>
      <c r="E139" s="16" t="s">
        <v>193</v>
      </c>
      <c r="F139" s="21" t="s">
        <v>495</v>
      </c>
      <c r="G139" s="19">
        <f>6911-517+563</f>
        <v>6957</v>
      </c>
      <c r="H139" s="17">
        <f t="shared" si="10"/>
        <v>7304.85</v>
      </c>
      <c r="I139" s="17">
        <v>7672</v>
      </c>
      <c r="J139" s="112">
        <f t="shared" si="11"/>
        <v>8285.76</v>
      </c>
      <c r="K139" s="112">
        <v>8285.76</v>
      </c>
      <c r="L139" s="17">
        <f t="shared" si="9"/>
        <v>4938.3129600000002</v>
      </c>
      <c r="M139" t="s">
        <v>3246</v>
      </c>
    </row>
    <row r="140" spans="1:13" x14ac:dyDescent="0.25">
      <c r="B140" s="14" t="s">
        <v>225</v>
      </c>
      <c r="C140" s="15" t="s">
        <v>264</v>
      </c>
      <c r="D140" s="15" t="s">
        <v>260</v>
      </c>
      <c r="E140" s="16" t="s">
        <v>194</v>
      </c>
      <c r="F140" s="21" t="s">
        <v>494</v>
      </c>
      <c r="G140" s="19">
        <f>7158-517+563</f>
        <v>7204</v>
      </c>
      <c r="H140" s="17">
        <f t="shared" si="10"/>
        <v>7564.2000000000007</v>
      </c>
      <c r="I140" s="17">
        <v>7950</v>
      </c>
      <c r="J140" s="112">
        <f t="shared" si="11"/>
        <v>8586</v>
      </c>
      <c r="K140" s="112">
        <v>8586</v>
      </c>
      <c r="L140" s="17">
        <f t="shared" si="9"/>
        <v>5117.2559999999994</v>
      </c>
      <c r="M140" t="s">
        <v>3246</v>
      </c>
    </row>
    <row r="141" spans="1:13" x14ac:dyDescent="0.25">
      <c r="B141" s="14" t="s">
        <v>226</v>
      </c>
      <c r="C141" s="15" t="s">
        <v>264</v>
      </c>
      <c r="D141" s="15" t="s">
        <v>261</v>
      </c>
      <c r="E141" s="16" t="s">
        <v>195</v>
      </c>
      <c r="F141" s="21" t="s">
        <v>495</v>
      </c>
      <c r="G141" s="19">
        <f>7406-517+563</f>
        <v>7452</v>
      </c>
      <c r="H141" s="17">
        <f t="shared" si="10"/>
        <v>7824.6</v>
      </c>
      <c r="I141" s="17">
        <v>8220</v>
      </c>
      <c r="J141" s="112">
        <f t="shared" si="11"/>
        <v>8877.6</v>
      </c>
      <c r="K141" s="112">
        <v>8877.6</v>
      </c>
      <c r="L141" s="17">
        <f t="shared" si="9"/>
        <v>5291.0496000000003</v>
      </c>
      <c r="M141" t="s">
        <v>3246</v>
      </c>
    </row>
    <row r="142" spans="1:13" x14ac:dyDescent="0.25">
      <c r="B142" s="14" t="s">
        <v>227</v>
      </c>
      <c r="C142" s="15" t="s">
        <v>264</v>
      </c>
      <c r="D142" s="15" t="s">
        <v>262</v>
      </c>
      <c r="E142" s="16" t="s">
        <v>196</v>
      </c>
      <c r="F142" s="21" t="s">
        <v>495</v>
      </c>
      <c r="G142" s="20">
        <f>7722-517+563</f>
        <v>7768</v>
      </c>
      <c r="H142" s="17">
        <f t="shared" si="10"/>
        <v>8156.4000000000005</v>
      </c>
      <c r="I142" s="17">
        <v>8570</v>
      </c>
      <c r="J142" s="112">
        <f t="shared" si="11"/>
        <v>9255.6</v>
      </c>
      <c r="K142" s="112">
        <v>9255.6</v>
      </c>
      <c r="L142" s="17">
        <f t="shared" si="9"/>
        <v>5516.3375999999998</v>
      </c>
      <c r="M142" t="s">
        <v>3246</v>
      </c>
    </row>
    <row r="143" spans="1:13" s="62" customFormat="1" x14ac:dyDescent="0.25">
      <c r="A143" s="62" t="s">
        <v>2906</v>
      </c>
      <c r="B143" s="67" t="s">
        <v>2904</v>
      </c>
      <c r="C143" s="68"/>
      <c r="D143" s="68"/>
      <c r="E143" s="69"/>
      <c r="F143" s="68"/>
      <c r="G143" s="70"/>
      <c r="H143" s="17"/>
      <c r="I143" s="17"/>
      <c r="J143" s="113"/>
      <c r="K143" s="70"/>
      <c r="L143" s="70"/>
    </row>
    <row r="144" spans="1:13" x14ac:dyDescent="0.25">
      <c r="A144" s="4"/>
      <c r="B144" s="14" t="s">
        <v>298</v>
      </c>
      <c r="C144" s="15" t="s">
        <v>332</v>
      </c>
      <c r="D144" s="21" t="s">
        <v>230</v>
      </c>
      <c r="E144" s="16" t="s">
        <v>265</v>
      </c>
      <c r="F144" s="21" t="s">
        <v>158</v>
      </c>
      <c r="G144" s="19">
        <v>4897</v>
      </c>
      <c r="H144" s="17">
        <f t="shared" si="10"/>
        <v>5141.8500000000004</v>
      </c>
      <c r="I144" s="17">
        <v>5390</v>
      </c>
      <c r="J144" s="112">
        <f t="shared" si="11"/>
        <v>5821.2000000000007</v>
      </c>
      <c r="K144" s="112">
        <f>J144*1.11</f>
        <v>6461.5320000000011</v>
      </c>
      <c r="L144" s="17">
        <f t="shared" si="9"/>
        <v>3851.0730720000006</v>
      </c>
      <c r="M144" t="s">
        <v>4001</v>
      </c>
    </row>
    <row r="145" spans="1:13" x14ac:dyDescent="0.25">
      <c r="A145" s="30"/>
      <c r="B145" s="14" t="s">
        <v>299</v>
      </c>
      <c r="C145" s="15" t="s">
        <v>332</v>
      </c>
      <c r="D145" s="21" t="s">
        <v>231</v>
      </c>
      <c r="E145" s="16" t="s">
        <v>266</v>
      </c>
      <c r="F145" s="21" t="s">
        <v>158</v>
      </c>
      <c r="G145" s="19">
        <v>4967</v>
      </c>
      <c r="H145" s="17">
        <f t="shared" si="10"/>
        <v>5215.3500000000004</v>
      </c>
      <c r="I145" s="17">
        <v>5480</v>
      </c>
      <c r="J145" s="112">
        <f t="shared" si="11"/>
        <v>5918.4000000000005</v>
      </c>
      <c r="K145" s="112">
        <f t="shared" ref="K145:K176" si="12">J145*1.11</f>
        <v>6569.4240000000009</v>
      </c>
      <c r="L145" s="17">
        <f t="shared" si="9"/>
        <v>3915.3767040000002</v>
      </c>
      <c r="M145" t="s">
        <v>4001</v>
      </c>
    </row>
    <row r="146" spans="1:13" x14ac:dyDescent="0.25">
      <c r="B146" s="14" t="s">
        <v>300</v>
      </c>
      <c r="C146" s="15" t="s">
        <v>332</v>
      </c>
      <c r="D146" s="21" t="s">
        <v>232</v>
      </c>
      <c r="E146" s="16" t="s">
        <v>267</v>
      </c>
      <c r="F146" s="21" t="s">
        <v>158</v>
      </c>
      <c r="G146" s="19">
        <v>5043</v>
      </c>
      <c r="H146" s="17">
        <f t="shared" si="10"/>
        <v>5295.1500000000005</v>
      </c>
      <c r="I146" s="17">
        <v>5561</v>
      </c>
      <c r="J146" s="112">
        <f t="shared" si="11"/>
        <v>6005.88</v>
      </c>
      <c r="K146" s="112">
        <f t="shared" si="12"/>
        <v>6666.5268000000005</v>
      </c>
      <c r="L146" s="17">
        <f t="shared" si="9"/>
        <v>3973.2499728000003</v>
      </c>
      <c r="M146" t="s">
        <v>4001</v>
      </c>
    </row>
    <row r="147" spans="1:13" x14ac:dyDescent="0.25">
      <c r="B147" s="14" t="s">
        <v>301</v>
      </c>
      <c r="C147" s="15" t="s">
        <v>332</v>
      </c>
      <c r="D147" s="21" t="s">
        <v>233</v>
      </c>
      <c r="E147" s="16" t="s">
        <v>268</v>
      </c>
      <c r="F147" s="21" t="s">
        <v>158</v>
      </c>
      <c r="G147" s="19">
        <v>5119</v>
      </c>
      <c r="H147" s="17">
        <f t="shared" si="10"/>
        <v>5374.95</v>
      </c>
      <c r="I147" s="17">
        <v>5645</v>
      </c>
      <c r="J147" s="112">
        <f t="shared" si="11"/>
        <v>6096.6</v>
      </c>
      <c r="K147" s="112">
        <f t="shared" si="12"/>
        <v>6767.2260000000006</v>
      </c>
      <c r="L147" s="17">
        <f t="shared" si="9"/>
        <v>4033.2666960000001</v>
      </c>
      <c r="M147" t="s">
        <v>4001</v>
      </c>
    </row>
    <row r="148" spans="1:13" x14ac:dyDescent="0.25">
      <c r="B148" s="14" t="s">
        <v>302</v>
      </c>
      <c r="C148" s="15" t="s">
        <v>332</v>
      </c>
      <c r="D148" s="21" t="s">
        <v>234</v>
      </c>
      <c r="E148" s="16" t="s">
        <v>269</v>
      </c>
      <c r="F148" s="21" t="s">
        <v>159</v>
      </c>
      <c r="G148" s="19">
        <v>5428</v>
      </c>
      <c r="H148" s="17">
        <f t="shared" si="10"/>
        <v>5699.4000000000005</v>
      </c>
      <c r="I148" s="17">
        <v>5990</v>
      </c>
      <c r="J148" s="112">
        <f t="shared" si="11"/>
        <v>6469.2000000000007</v>
      </c>
      <c r="K148" s="112">
        <f t="shared" si="12"/>
        <v>7180.8120000000017</v>
      </c>
      <c r="L148" s="17">
        <f t="shared" si="9"/>
        <v>4279.7639520000012</v>
      </c>
      <c r="M148" t="s">
        <v>4001</v>
      </c>
    </row>
    <row r="149" spans="1:13" x14ac:dyDescent="0.25">
      <c r="B149" s="14" t="s">
        <v>303</v>
      </c>
      <c r="C149" s="15" t="s">
        <v>332</v>
      </c>
      <c r="D149" s="21" t="s">
        <v>235</v>
      </c>
      <c r="E149" s="16" t="s">
        <v>270</v>
      </c>
      <c r="F149" s="21" t="s">
        <v>159</v>
      </c>
      <c r="G149" s="19">
        <v>6319</v>
      </c>
      <c r="H149" s="17">
        <f t="shared" si="10"/>
        <v>6634.9500000000007</v>
      </c>
      <c r="I149" s="17">
        <v>6970</v>
      </c>
      <c r="J149" s="112">
        <f t="shared" si="11"/>
        <v>7527.6</v>
      </c>
      <c r="K149" s="112">
        <f t="shared" si="12"/>
        <v>8355.6360000000004</v>
      </c>
      <c r="L149" s="17">
        <f t="shared" si="9"/>
        <v>4979.9590559999997</v>
      </c>
      <c r="M149" t="s">
        <v>4001</v>
      </c>
    </row>
    <row r="150" spans="1:13" x14ac:dyDescent="0.25">
      <c r="B150" s="14" t="s">
        <v>304</v>
      </c>
      <c r="C150" s="15" t="s">
        <v>332</v>
      </c>
      <c r="D150" s="21" t="s">
        <v>236</v>
      </c>
      <c r="E150" s="16" t="s">
        <v>271</v>
      </c>
      <c r="F150" s="21" t="s">
        <v>159</v>
      </c>
      <c r="G150" s="19">
        <v>6402</v>
      </c>
      <c r="H150" s="17">
        <f t="shared" si="10"/>
        <v>6722.1</v>
      </c>
      <c r="I150" s="17">
        <v>7060</v>
      </c>
      <c r="J150" s="112">
        <f t="shared" si="11"/>
        <v>7624.8</v>
      </c>
      <c r="K150" s="112">
        <f t="shared" si="12"/>
        <v>8463.5280000000002</v>
      </c>
      <c r="L150" s="17">
        <f t="shared" si="9"/>
        <v>5044.2626879999998</v>
      </c>
      <c r="M150" t="s">
        <v>4001</v>
      </c>
    </row>
    <row r="151" spans="1:13" x14ac:dyDescent="0.25">
      <c r="B151" s="14" t="s">
        <v>305</v>
      </c>
      <c r="C151" s="15" t="s">
        <v>332</v>
      </c>
      <c r="D151" s="21" t="s">
        <v>244</v>
      </c>
      <c r="E151" s="16" t="s">
        <v>272</v>
      </c>
      <c r="F151" s="21" t="s">
        <v>160</v>
      </c>
      <c r="G151" s="19">
        <v>7217</v>
      </c>
      <c r="H151" s="17">
        <f t="shared" si="10"/>
        <v>7577.85</v>
      </c>
      <c r="I151" s="17">
        <v>7960</v>
      </c>
      <c r="J151" s="112">
        <f t="shared" si="11"/>
        <v>8596.8000000000011</v>
      </c>
      <c r="K151" s="112">
        <f t="shared" si="12"/>
        <v>9542.4480000000021</v>
      </c>
      <c r="L151" s="17">
        <f t="shared" si="9"/>
        <v>5687.2990080000009</v>
      </c>
      <c r="M151" t="s">
        <v>4001</v>
      </c>
    </row>
    <row r="152" spans="1:13" x14ac:dyDescent="0.25">
      <c r="B152" s="14" t="s">
        <v>306</v>
      </c>
      <c r="C152" s="15" t="s">
        <v>332</v>
      </c>
      <c r="D152" s="21" t="s">
        <v>245</v>
      </c>
      <c r="E152" s="16" t="s">
        <v>273</v>
      </c>
      <c r="F152" s="21" t="s">
        <v>160</v>
      </c>
      <c r="G152" s="19">
        <v>7308</v>
      </c>
      <c r="H152" s="17">
        <f t="shared" si="10"/>
        <v>7673.4000000000005</v>
      </c>
      <c r="I152" s="17">
        <v>8060</v>
      </c>
      <c r="J152" s="112">
        <f t="shared" si="11"/>
        <v>8704.8000000000011</v>
      </c>
      <c r="K152" s="112">
        <f t="shared" si="12"/>
        <v>9662.3280000000013</v>
      </c>
      <c r="L152" s="17">
        <f t="shared" si="9"/>
        <v>5758.7474880000009</v>
      </c>
      <c r="M152" t="s">
        <v>4001</v>
      </c>
    </row>
    <row r="153" spans="1:13" x14ac:dyDescent="0.25">
      <c r="B153" s="14" t="s">
        <v>307</v>
      </c>
      <c r="C153" s="15" t="s">
        <v>332</v>
      </c>
      <c r="D153" s="21" t="s">
        <v>246</v>
      </c>
      <c r="E153" s="16" t="s">
        <v>274</v>
      </c>
      <c r="F153" s="21" t="s">
        <v>160</v>
      </c>
      <c r="G153" s="19">
        <v>7395</v>
      </c>
      <c r="H153" s="17">
        <f t="shared" si="10"/>
        <v>7764.75</v>
      </c>
      <c r="I153" s="17">
        <v>8155</v>
      </c>
      <c r="J153" s="112">
        <f t="shared" si="11"/>
        <v>8807.4000000000015</v>
      </c>
      <c r="K153" s="112">
        <f t="shared" si="12"/>
        <v>9776.2140000000018</v>
      </c>
      <c r="L153" s="17">
        <f t="shared" si="9"/>
        <v>5826.6235440000009</v>
      </c>
      <c r="M153" t="s">
        <v>4001</v>
      </c>
    </row>
    <row r="154" spans="1:13" x14ac:dyDescent="0.25">
      <c r="A154" t="s">
        <v>3152</v>
      </c>
      <c r="B154" s="14" t="s">
        <v>308</v>
      </c>
      <c r="C154" s="15" t="s">
        <v>332</v>
      </c>
      <c r="D154" s="21" t="s">
        <v>247</v>
      </c>
      <c r="E154" s="16" t="s">
        <v>275</v>
      </c>
      <c r="F154" s="21" t="s">
        <v>160</v>
      </c>
      <c r="G154" s="19">
        <v>7559</v>
      </c>
      <c r="H154" s="17">
        <f t="shared" si="10"/>
        <v>7936.9500000000007</v>
      </c>
      <c r="I154" s="17">
        <v>8335</v>
      </c>
      <c r="J154" s="112">
        <f t="shared" si="11"/>
        <v>9001.8000000000011</v>
      </c>
      <c r="K154" s="112">
        <f t="shared" si="12"/>
        <v>9991.9980000000014</v>
      </c>
      <c r="L154" s="17">
        <f t="shared" si="9"/>
        <v>5955.2308080000003</v>
      </c>
      <c r="M154" t="s">
        <v>4001</v>
      </c>
    </row>
    <row r="155" spans="1:13" x14ac:dyDescent="0.25">
      <c r="B155" s="14" t="s">
        <v>309</v>
      </c>
      <c r="C155" s="15" t="s">
        <v>332</v>
      </c>
      <c r="D155" s="21" t="s">
        <v>237</v>
      </c>
      <c r="E155" s="16" t="s">
        <v>276</v>
      </c>
      <c r="F155" s="21" t="s">
        <v>158</v>
      </c>
      <c r="G155" s="19">
        <v>5013</v>
      </c>
      <c r="H155" s="17">
        <f t="shared" si="10"/>
        <v>5263.6500000000005</v>
      </c>
      <c r="I155" s="17">
        <v>5530</v>
      </c>
      <c r="J155" s="112">
        <f t="shared" si="11"/>
        <v>5972.4000000000005</v>
      </c>
      <c r="K155" s="112">
        <f t="shared" si="12"/>
        <v>6629.3640000000014</v>
      </c>
      <c r="L155" s="17">
        <f t="shared" si="9"/>
        <v>3951.1009440000007</v>
      </c>
      <c r="M155" t="s">
        <v>4001</v>
      </c>
    </row>
    <row r="156" spans="1:13" x14ac:dyDescent="0.25">
      <c r="B156" s="14" t="s">
        <v>310</v>
      </c>
      <c r="C156" s="15" t="s">
        <v>332</v>
      </c>
      <c r="D156" s="21" t="s">
        <v>238</v>
      </c>
      <c r="E156" s="16" t="s">
        <v>277</v>
      </c>
      <c r="F156" s="21" t="s">
        <v>158</v>
      </c>
      <c r="G156" s="19">
        <v>5087</v>
      </c>
      <c r="H156" s="17">
        <f t="shared" si="10"/>
        <v>5341.35</v>
      </c>
      <c r="I156" s="17">
        <v>5610</v>
      </c>
      <c r="J156" s="112">
        <f t="shared" si="11"/>
        <v>6058.8</v>
      </c>
      <c r="K156" s="112">
        <f t="shared" si="12"/>
        <v>6725.2680000000009</v>
      </c>
      <c r="L156" s="17">
        <f t="shared" si="9"/>
        <v>4008.2597280000005</v>
      </c>
      <c r="M156" t="s">
        <v>4001</v>
      </c>
    </row>
    <row r="157" spans="1:13" x14ac:dyDescent="0.25">
      <c r="B157" s="14" t="s">
        <v>311</v>
      </c>
      <c r="C157" s="15" t="s">
        <v>332</v>
      </c>
      <c r="D157" s="21" t="s">
        <v>239</v>
      </c>
      <c r="E157" s="16" t="s">
        <v>278</v>
      </c>
      <c r="F157" s="21" t="s">
        <v>158</v>
      </c>
      <c r="G157" s="19">
        <v>5163</v>
      </c>
      <c r="H157" s="17">
        <f t="shared" si="10"/>
        <v>5421.1500000000005</v>
      </c>
      <c r="I157" s="17">
        <v>5700</v>
      </c>
      <c r="J157" s="112">
        <f t="shared" si="11"/>
        <v>6156</v>
      </c>
      <c r="K157" s="112">
        <f t="shared" si="12"/>
        <v>6833.1600000000008</v>
      </c>
      <c r="L157" s="17">
        <f t="shared" si="9"/>
        <v>4072.5633600000001</v>
      </c>
      <c r="M157" t="s">
        <v>4001</v>
      </c>
    </row>
    <row r="158" spans="1:13" x14ac:dyDescent="0.25">
      <c r="B158" s="14" t="s">
        <v>312</v>
      </c>
      <c r="C158" s="15" t="s">
        <v>332</v>
      </c>
      <c r="D158" s="21" t="s">
        <v>240</v>
      </c>
      <c r="E158" s="16" t="s">
        <v>279</v>
      </c>
      <c r="F158" s="21" t="s">
        <v>158</v>
      </c>
      <c r="G158" s="19">
        <v>5242</v>
      </c>
      <c r="H158" s="17">
        <f t="shared" si="10"/>
        <v>5504.1</v>
      </c>
      <c r="I158" s="17">
        <v>5790</v>
      </c>
      <c r="J158" s="112">
        <f t="shared" si="11"/>
        <v>6253.2000000000007</v>
      </c>
      <c r="K158" s="112">
        <f t="shared" si="12"/>
        <v>6941.0520000000015</v>
      </c>
      <c r="L158" s="17">
        <f t="shared" si="9"/>
        <v>4136.8669920000011</v>
      </c>
      <c r="M158" t="s">
        <v>4001</v>
      </c>
    </row>
    <row r="159" spans="1:13" x14ac:dyDescent="0.25">
      <c r="B159" s="14" t="s">
        <v>313</v>
      </c>
      <c r="C159" s="15" t="s">
        <v>332</v>
      </c>
      <c r="D159" s="21" t="s">
        <v>241</v>
      </c>
      <c r="E159" s="16" t="s">
        <v>280</v>
      </c>
      <c r="F159" s="21" t="s">
        <v>159</v>
      </c>
      <c r="G159" s="19">
        <v>6363</v>
      </c>
      <c r="H159" s="17">
        <f t="shared" si="10"/>
        <v>6681.1500000000005</v>
      </c>
      <c r="I159" s="17">
        <v>7016</v>
      </c>
      <c r="J159" s="112">
        <f t="shared" si="11"/>
        <v>7577.2800000000007</v>
      </c>
      <c r="K159" s="112">
        <f t="shared" si="12"/>
        <v>8410.7808000000023</v>
      </c>
      <c r="L159" s="17">
        <f t="shared" si="9"/>
        <v>5012.8253568000009</v>
      </c>
      <c r="M159" t="s">
        <v>4001</v>
      </c>
    </row>
    <row r="160" spans="1:13" x14ac:dyDescent="0.25">
      <c r="B160" s="14" t="s">
        <v>314</v>
      </c>
      <c r="C160" s="15" t="s">
        <v>332</v>
      </c>
      <c r="D160" s="21" t="s">
        <v>242</v>
      </c>
      <c r="E160" s="16" t="s">
        <v>281</v>
      </c>
      <c r="F160" s="21" t="s">
        <v>159</v>
      </c>
      <c r="G160" s="19">
        <v>6447</v>
      </c>
      <c r="H160" s="17">
        <f t="shared" si="10"/>
        <v>6769.35</v>
      </c>
      <c r="I160" s="17">
        <v>7110</v>
      </c>
      <c r="J160" s="112">
        <f t="shared" si="11"/>
        <v>7678.8</v>
      </c>
      <c r="K160" s="112">
        <f t="shared" si="12"/>
        <v>8523.4680000000008</v>
      </c>
      <c r="L160" s="17">
        <f t="shared" si="9"/>
        <v>5079.9869280000003</v>
      </c>
      <c r="M160" t="s">
        <v>4001</v>
      </c>
    </row>
    <row r="161" spans="1:13" x14ac:dyDescent="0.25">
      <c r="B161" s="14" t="s">
        <v>315</v>
      </c>
      <c r="C161" s="15" t="s">
        <v>332</v>
      </c>
      <c r="D161" s="21" t="s">
        <v>243</v>
      </c>
      <c r="E161" s="16" t="s">
        <v>282</v>
      </c>
      <c r="F161" s="21" t="s">
        <v>159</v>
      </c>
      <c r="G161" s="19">
        <v>6535</v>
      </c>
      <c r="H161" s="17">
        <f t="shared" si="10"/>
        <v>6861.75</v>
      </c>
      <c r="I161" s="17">
        <v>7205</v>
      </c>
      <c r="J161" s="112">
        <f t="shared" si="11"/>
        <v>7781.4000000000005</v>
      </c>
      <c r="K161" s="112">
        <f t="shared" si="12"/>
        <v>8637.3540000000012</v>
      </c>
      <c r="L161" s="17">
        <f t="shared" si="9"/>
        <v>5147.8629840000003</v>
      </c>
      <c r="M161" t="s">
        <v>4001</v>
      </c>
    </row>
    <row r="162" spans="1:13" x14ac:dyDescent="0.25">
      <c r="B162" s="14" t="s">
        <v>316</v>
      </c>
      <c r="C162" s="15" t="s">
        <v>332</v>
      </c>
      <c r="D162" s="21" t="s">
        <v>248</v>
      </c>
      <c r="E162" s="16" t="s">
        <v>283</v>
      </c>
      <c r="F162" s="15" t="s">
        <v>160</v>
      </c>
      <c r="G162" s="19">
        <v>7373</v>
      </c>
      <c r="H162" s="17">
        <f t="shared" si="10"/>
        <v>7741.6500000000005</v>
      </c>
      <c r="I162" s="17">
        <v>8130</v>
      </c>
      <c r="J162" s="112">
        <f t="shared" si="11"/>
        <v>8780.4000000000015</v>
      </c>
      <c r="K162" s="112">
        <f t="shared" si="12"/>
        <v>9746.2440000000024</v>
      </c>
      <c r="L162" s="17">
        <f t="shared" si="9"/>
        <v>5808.7614240000012</v>
      </c>
      <c r="M162" t="s">
        <v>4001</v>
      </c>
    </row>
    <row r="163" spans="1:13" x14ac:dyDescent="0.25">
      <c r="B163" s="14" t="s">
        <v>317</v>
      </c>
      <c r="C163" s="15" t="s">
        <v>332</v>
      </c>
      <c r="D163" s="21" t="s">
        <v>249</v>
      </c>
      <c r="E163" s="16" t="s">
        <v>284</v>
      </c>
      <c r="F163" s="15" t="s">
        <v>160</v>
      </c>
      <c r="G163" s="19">
        <v>7466</v>
      </c>
      <c r="H163" s="17">
        <f t="shared" si="10"/>
        <v>7839.3</v>
      </c>
      <c r="I163" s="17">
        <v>8235</v>
      </c>
      <c r="J163" s="112">
        <f t="shared" si="11"/>
        <v>8893.8000000000011</v>
      </c>
      <c r="K163" s="112">
        <f t="shared" si="12"/>
        <v>9872.1180000000022</v>
      </c>
      <c r="L163" s="17">
        <f t="shared" si="9"/>
        <v>5883.7823280000011</v>
      </c>
      <c r="M163" t="s">
        <v>4001</v>
      </c>
    </row>
    <row r="164" spans="1:13" x14ac:dyDescent="0.25">
      <c r="B164" s="14" t="s">
        <v>318</v>
      </c>
      <c r="C164" s="15" t="s">
        <v>332</v>
      </c>
      <c r="D164" s="21" t="s">
        <v>250</v>
      </c>
      <c r="E164" s="16" t="s">
        <v>285</v>
      </c>
      <c r="F164" s="15" t="s">
        <v>160</v>
      </c>
      <c r="G164" s="19">
        <v>7555</v>
      </c>
      <c r="H164" s="17">
        <f t="shared" si="10"/>
        <v>7932.75</v>
      </c>
      <c r="I164" s="17">
        <v>8333</v>
      </c>
      <c r="J164" s="112">
        <f t="shared" si="11"/>
        <v>8999.6400000000012</v>
      </c>
      <c r="K164" s="112">
        <f t="shared" si="12"/>
        <v>9989.600400000003</v>
      </c>
      <c r="L164" s="17">
        <f t="shared" si="9"/>
        <v>5953.8018384000015</v>
      </c>
      <c r="M164" t="s">
        <v>4001</v>
      </c>
    </row>
    <row r="165" spans="1:13" x14ac:dyDescent="0.25">
      <c r="B165" s="14" t="s">
        <v>319</v>
      </c>
      <c r="C165" s="15" t="s">
        <v>332</v>
      </c>
      <c r="D165" s="21" t="s">
        <v>251</v>
      </c>
      <c r="E165" s="16" t="s">
        <v>286</v>
      </c>
      <c r="F165" s="15" t="s">
        <v>160</v>
      </c>
      <c r="G165" s="19">
        <v>7657</v>
      </c>
      <c r="H165" s="17">
        <f t="shared" si="10"/>
        <v>8039.85</v>
      </c>
      <c r="I165" s="17">
        <v>8450</v>
      </c>
      <c r="J165" s="112">
        <f t="shared" si="11"/>
        <v>9126</v>
      </c>
      <c r="K165" s="112">
        <f t="shared" si="12"/>
        <v>10129.86</v>
      </c>
      <c r="L165" s="17">
        <f t="shared" si="9"/>
        <v>6037.3965600000001</v>
      </c>
      <c r="M165" t="s">
        <v>4001</v>
      </c>
    </row>
    <row r="166" spans="1:13" x14ac:dyDescent="0.25">
      <c r="B166" s="14" t="s">
        <v>320</v>
      </c>
      <c r="C166" s="15" t="s">
        <v>332</v>
      </c>
      <c r="D166" s="21" t="s">
        <v>252</v>
      </c>
      <c r="E166" s="16" t="s">
        <v>287</v>
      </c>
      <c r="F166" s="15" t="s">
        <v>161</v>
      </c>
      <c r="G166" s="19">
        <v>5088</v>
      </c>
      <c r="H166" s="17">
        <f t="shared" si="10"/>
        <v>5342.4000000000005</v>
      </c>
      <c r="I166" s="17">
        <v>5613</v>
      </c>
      <c r="J166" s="112">
        <f t="shared" si="11"/>
        <v>6062.04</v>
      </c>
      <c r="K166" s="112">
        <f t="shared" si="12"/>
        <v>6728.8644000000004</v>
      </c>
      <c r="L166" s="17">
        <f t="shared" si="9"/>
        <v>4010.4031823999999</v>
      </c>
      <c r="M166" t="s">
        <v>4001</v>
      </c>
    </row>
    <row r="167" spans="1:13" x14ac:dyDescent="0.25">
      <c r="A167" t="s">
        <v>3195</v>
      </c>
      <c r="B167" s="14" t="s">
        <v>321</v>
      </c>
      <c r="C167" s="15" t="s">
        <v>332</v>
      </c>
      <c r="D167" s="21" t="s">
        <v>253</v>
      </c>
      <c r="E167" s="16" t="s">
        <v>288</v>
      </c>
      <c r="F167" s="15" t="s">
        <v>161</v>
      </c>
      <c r="G167" s="19">
        <v>5164</v>
      </c>
      <c r="H167" s="17">
        <f t="shared" si="10"/>
        <v>5422.2</v>
      </c>
      <c r="I167" s="17">
        <v>5700</v>
      </c>
      <c r="J167" s="112">
        <f t="shared" si="11"/>
        <v>6156</v>
      </c>
      <c r="K167" s="112">
        <f t="shared" si="12"/>
        <v>6833.1600000000008</v>
      </c>
      <c r="L167" s="17">
        <f t="shared" si="9"/>
        <v>4072.5633600000001</v>
      </c>
      <c r="M167" t="s">
        <v>4001</v>
      </c>
    </row>
    <row r="168" spans="1:13" x14ac:dyDescent="0.25">
      <c r="B168" s="14" t="s">
        <v>322</v>
      </c>
      <c r="C168" s="15" t="s">
        <v>332</v>
      </c>
      <c r="D168" s="21" t="s">
        <v>254</v>
      </c>
      <c r="E168" s="16" t="s">
        <v>289</v>
      </c>
      <c r="F168" s="15" t="s">
        <v>161</v>
      </c>
      <c r="G168" s="19">
        <v>5243</v>
      </c>
      <c r="H168" s="17">
        <f t="shared" si="10"/>
        <v>5505.1500000000005</v>
      </c>
      <c r="I168" s="17">
        <v>5781</v>
      </c>
      <c r="J168" s="112">
        <f t="shared" si="11"/>
        <v>6243.4800000000005</v>
      </c>
      <c r="K168" s="112">
        <f t="shared" si="12"/>
        <v>6930.2628000000013</v>
      </c>
      <c r="L168" s="17">
        <f t="shared" si="9"/>
        <v>4130.436628800001</v>
      </c>
      <c r="M168" t="s">
        <v>4001</v>
      </c>
    </row>
    <row r="169" spans="1:13" x14ac:dyDescent="0.25">
      <c r="B169" s="14" t="s">
        <v>323</v>
      </c>
      <c r="C169" s="15" t="s">
        <v>332</v>
      </c>
      <c r="D169" s="21" t="s">
        <v>255</v>
      </c>
      <c r="E169" s="16" t="s">
        <v>290</v>
      </c>
      <c r="F169" s="15" t="s">
        <v>161</v>
      </c>
      <c r="G169" s="19">
        <v>5323</v>
      </c>
      <c r="H169" s="17">
        <f t="shared" si="10"/>
        <v>5589.1500000000005</v>
      </c>
      <c r="I169" s="17">
        <v>5870</v>
      </c>
      <c r="J169" s="112">
        <f t="shared" si="11"/>
        <v>6339.6</v>
      </c>
      <c r="K169" s="112">
        <f t="shared" si="12"/>
        <v>7036.956000000001</v>
      </c>
      <c r="L169" s="17">
        <f t="shared" si="9"/>
        <v>4194.0257760000004</v>
      </c>
      <c r="M169" t="s">
        <v>4001</v>
      </c>
    </row>
    <row r="170" spans="1:13" x14ac:dyDescent="0.25">
      <c r="B170" s="14" t="s">
        <v>324</v>
      </c>
      <c r="C170" s="15" t="s">
        <v>332</v>
      </c>
      <c r="D170" s="21" t="s">
        <v>256</v>
      </c>
      <c r="E170" s="16" t="s">
        <v>291</v>
      </c>
      <c r="F170" s="15" t="s">
        <v>162</v>
      </c>
      <c r="G170" s="19">
        <v>6447</v>
      </c>
      <c r="H170" s="17">
        <f t="shared" si="10"/>
        <v>6769.35</v>
      </c>
      <c r="I170" s="17">
        <v>7110</v>
      </c>
      <c r="J170" s="112">
        <f t="shared" si="11"/>
        <v>7678.8</v>
      </c>
      <c r="K170" s="112">
        <f t="shared" si="12"/>
        <v>8523.4680000000008</v>
      </c>
      <c r="L170" s="17">
        <f t="shared" si="9"/>
        <v>5079.9869280000003</v>
      </c>
      <c r="M170" t="s">
        <v>4001</v>
      </c>
    </row>
    <row r="171" spans="1:13" x14ac:dyDescent="0.25">
      <c r="B171" s="14" t="s">
        <v>325</v>
      </c>
      <c r="C171" s="15" t="s">
        <v>332</v>
      </c>
      <c r="D171" s="21" t="s">
        <v>257</v>
      </c>
      <c r="E171" s="16" t="s">
        <v>292</v>
      </c>
      <c r="F171" s="15" t="s">
        <v>162</v>
      </c>
      <c r="G171" s="19">
        <v>6534</v>
      </c>
      <c r="H171" s="17">
        <f t="shared" si="10"/>
        <v>6860.7000000000007</v>
      </c>
      <c r="I171" s="17">
        <v>7210</v>
      </c>
      <c r="J171" s="112">
        <f t="shared" si="11"/>
        <v>7786.8</v>
      </c>
      <c r="K171" s="112">
        <f t="shared" si="12"/>
        <v>8643.3480000000018</v>
      </c>
      <c r="L171" s="17">
        <f t="shared" si="9"/>
        <v>5151.4354080000012</v>
      </c>
      <c r="M171" t="s">
        <v>4001</v>
      </c>
    </row>
    <row r="172" spans="1:13" x14ac:dyDescent="0.25">
      <c r="B172" s="14" t="s">
        <v>326</v>
      </c>
      <c r="C172" s="15" t="s">
        <v>332</v>
      </c>
      <c r="D172" s="21" t="s">
        <v>258</v>
      </c>
      <c r="E172" s="16" t="s">
        <v>293</v>
      </c>
      <c r="F172" s="15" t="s">
        <v>162</v>
      </c>
      <c r="G172" s="19">
        <v>6622</v>
      </c>
      <c r="H172" s="17">
        <f t="shared" si="10"/>
        <v>6953.1</v>
      </c>
      <c r="I172" s="17">
        <v>7305</v>
      </c>
      <c r="J172" s="112">
        <f t="shared" si="11"/>
        <v>7889.4000000000005</v>
      </c>
      <c r="K172" s="112">
        <f t="shared" si="12"/>
        <v>8757.2340000000022</v>
      </c>
      <c r="L172" s="17">
        <f t="shared" si="9"/>
        <v>5219.3114640000013</v>
      </c>
      <c r="M172" t="s">
        <v>4001</v>
      </c>
    </row>
    <row r="173" spans="1:13" x14ac:dyDescent="0.25">
      <c r="B173" s="14" t="s">
        <v>327</v>
      </c>
      <c r="C173" s="15" t="s">
        <v>332</v>
      </c>
      <c r="D173" s="21" t="s">
        <v>259</v>
      </c>
      <c r="E173" s="16" t="s">
        <v>294</v>
      </c>
      <c r="F173" s="15" t="s">
        <v>163</v>
      </c>
      <c r="G173" s="19">
        <v>7464</v>
      </c>
      <c r="H173" s="17">
        <f t="shared" si="10"/>
        <v>7837.2000000000007</v>
      </c>
      <c r="I173" s="17">
        <v>8250</v>
      </c>
      <c r="J173" s="112">
        <f t="shared" si="11"/>
        <v>8910</v>
      </c>
      <c r="K173" s="112">
        <f t="shared" si="12"/>
        <v>9890.1</v>
      </c>
      <c r="L173" s="17">
        <f t="shared" si="9"/>
        <v>5894.4996000000001</v>
      </c>
      <c r="M173" t="s">
        <v>4001</v>
      </c>
    </row>
    <row r="174" spans="1:13" x14ac:dyDescent="0.25">
      <c r="B174" s="14" t="s">
        <v>328</v>
      </c>
      <c r="C174" s="15" t="s">
        <v>332</v>
      </c>
      <c r="D174" s="21" t="s">
        <v>260</v>
      </c>
      <c r="E174" s="16" t="s">
        <v>295</v>
      </c>
      <c r="F174" s="15" t="s">
        <v>163</v>
      </c>
      <c r="G174" s="19">
        <v>7560</v>
      </c>
      <c r="H174" s="17">
        <f t="shared" si="10"/>
        <v>7938</v>
      </c>
      <c r="I174" s="17">
        <v>8335</v>
      </c>
      <c r="J174" s="112">
        <f t="shared" si="11"/>
        <v>9001.8000000000011</v>
      </c>
      <c r="K174" s="112">
        <f t="shared" si="12"/>
        <v>9991.9980000000014</v>
      </c>
      <c r="L174" s="17">
        <f t="shared" si="9"/>
        <v>5955.2308080000003</v>
      </c>
      <c r="M174" t="s">
        <v>4001</v>
      </c>
    </row>
    <row r="175" spans="1:13" x14ac:dyDescent="0.25">
      <c r="B175" s="14" t="s">
        <v>329</v>
      </c>
      <c r="C175" s="15" t="s">
        <v>332</v>
      </c>
      <c r="D175" s="21" t="s">
        <v>261</v>
      </c>
      <c r="E175" s="16" t="s">
        <v>296</v>
      </c>
      <c r="F175" s="15" t="s">
        <v>163</v>
      </c>
      <c r="G175" s="19">
        <v>7653</v>
      </c>
      <c r="H175" s="17">
        <f t="shared" si="10"/>
        <v>8035.6500000000005</v>
      </c>
      <c r="I175" s="17">
        <v>8440</v>
      </c>
      <c r="J175" s="112">
        <f t="shared" si="11"/>
        <v>9115.2000000000007</v>
      </c>
      <c r="K175" s="112">
        <f t="shared" si="12"/>
        <v>10117.872000000001</v>
      </c>
      <c r="L175" s="17">
        <f t="shared" si="9"/>
        <v>6030.2517120000002</v>
      </c>
      <c r="M175" t="s">
        <v>4001</v>
      </c>
    </row>
    <row r="176" spans="1:13" x14ac:dyDescent="0.25">
      <c r="B176" s="14" t="s">
        <v>330</v>
      </c>
      <c r="C176" s="15" t="s">
        <v>332</v>
      </c>
      <c r="D176" s="21" t="s">
        <v>262</v>
      </c>
      <c r="E176" s="16" t="s">
        <v>297</v>
      </c>
      <c r="F176" s="15" t="s">
        <v>163</v>
      </c>
      <c r="G176" s="19">
        <v>7757</v>
      </c>
      <c r="H176" s="17">
        <f t="shared" si="10"/>
        <v>8144.85</v>
      </c>
      <c r="I176" s="17">
        <v>8553</v>
      </c>
      <c r="J176" s="112">
        <f t="shared" si="11"/>
        <v>9237.24</v>
      </c>
      <c r="K176" s="112">
        <f t="shared" si="12"/>
        <v>10253.3364</v>
      </c>
      <c r="L176" s="17">
        <f t="shared" si="9"/>
        <v>6110.9884943999996</v>
      </c>
      <c r="M176" t="s">
        <v>4001</v>
      </c>
    </row>
    <row r="177" spans="1:13" s="62" customFormat="1" x14ac:dyDescent="0.25">
      <c r="A177" s="62" t="s">
        <v>2907</v>
      </c>
      <c r="B177" s="67" t="s">
        <v>2903</v>
      </c>
      <c r="C177" s="68"/>
      <c r="D177" s="68"/>
      <c r="E177" s="69"/>
      <c r="F177" s="68"/>
      <c r="G177" s="73"/>
      <c r="H177" s="17"/>
      <c r="I177" s="17"/>
      <c r="J177" s="113"/>
      <c r="K177" s="70"/>
      <c r="L177" s="70"/>
    </row>
    <row r="178" spans="1:13" x14ac:dyDescent="0.25">
      <c r="A178" s="4"/>
      <c r="B178" s="14" t="s">
        <v>410</v>
      </c>
      <c r="C178" s="15" t="s">
        <v>1718</v>
      </c>
      <c r="D178" s="21" t="s">
        <v>22</v>
      </c>
      <c r="E178" s="16" t="s">
        <v>333</v>
      </c>
      <c r="F178" s="15" t="s">
        <v>157</v>
      </c>
      <c r="G178" s="22">
        <v>4297</v>
      </c>
      <c r="H178" s="17">
        <f t="shared" si="10"/>
        <v>4511.8500000000004</v>
      </c>
      <c r="I178" s="17">
        <v>4738</v>
      </c>
      <c r="J178" s="112">
        <f t="shared" si="11"/>
        <v>5117.04</v>
      </c>
      <c r="K178" s="112">
        <v>5117.04</v>
      </c>
      <c r="L178" s="17">
        <f t="shared" si="9"/>
        <v>3049.7558399999998</v>
      </c>
      <c r="M178" t="s">
        <v>3246</v>
      </c>
    </row>
    <row r="179" spans="1:13" x14ac:dyDescent="0.25">
      <c r="A179" s="30"/>
      <c r="B179" s="14" t="s">
        <v>411</v>
      </c>
      <c r="C179" s="15" t="s">
        <v>1718</v>
      </c>
      <c r="D179" s="21" t="s">
        <v>23</v>
      </c>
      <c r="E179" s="16" t="s">
        <v>334</v>
      </c>
      <c r="F179" s="15" t="s">
        <v>157</v>
      </c>
      <c r="G179" s="22">
        <v>4521</v>
      </c>
      <c r="H179" s="17">
        <f t="shared" si="10"/>
        <v>4747.05</v>
      </c>
      <c r="I179" s="17">
        <v>4986</v>
      </c>
      <c r="J179" s="112">
        <f t="shared" si="11"/>
        <v>5384.88</v>
      </c>
      <c r="K179" s="112">
        <v>5384.88</v>
      </c>
      <c r="L179" s="17">
        <f t="shared" si="9"/>
        <v>3209.3884800000001</v>
      </c>
      <c r="M179" t="s">
        <v>3246</v>
      </c>
    </row>
    <row r="180" spans="1:13" x14ac:dyDescent="0.25">
      <c r="B180" s="14" t="s">
        <v>412</v>
      </c>
      <c r="C180" s="15" t="s">
        <v>1718</v>
      </c>
      <c r="D180" s="21" t="s">
        <v>24</v>
      </c>
      <c r="E180" s="16" t="s">
        <v>335</v>
      </c>
      <c r="F180" s="15" t="s">
        <v>157</v>
      </c>
      <c r="G180" s="22">
        <v>4446</v>
      </c>
      <c r="H180" s="17">
        <f t="shared" si="10"/>
        <v>4668.3</v>
      </c>
      <c r="I180" s="17">
        <v>4903</v>
      </c>
      <c r="J180" s="112">
        <f t="shared" si="11"/>
        <v>5295.2400000000007</v>
      </c>
      <c r="K180" s="112">
        <v>5295.2400000000007</v>
      </c>
      <c r="L180" s="17">
        <f t="shared" si="9"/>
        <v>3155.9630400000001</v>
      </c>
      <c r="M180" t="s">
        <v>3246</v>
      </c>
    </row>
    <row r="181" spans="1:13" x14ac:dyDescent="0.25">
      <c r="B181" s="14" t="s">
        <v>413</v>
      </c>
      <c r="C181" s="15" t="s">
        <v>1718</v>
      </c>
      <c r="D181" s="21" t="s">
        <v>120</v>
      </c>
      <c r="E181" s="16" t="s">
        <v>336</v>
      </c>
      <c r="F181" s="15" t="s">
        <v>157</v>
      </c>
      <c r="G181" s="22">
        <v>4652</v>
      </c>
      <c r="H181" s="17">
        <f t="shared" si="10"/>
        <v>4884.6000000000004</v>
      </c>
      <c r="I181" s="17">
        <v>5130</v>
      </c>
      <c r="J181" s="112">
        <f t="shared" si="11"/>
        <v>5540.4000000000005</v>
      </c>
      <c r="K181" s="112">
        <v>5540.4000000000005</v>
      </c>
      <c r="L181" s="17">
        <f t="shared" si="9"/>
        <v>3302.0784000000003</v>
      </c>
      <c r="M181" t="s">
        <v>3246</v>
      </c>
    </row>
    <row r="182" spans="1:13" x14ac:dyDescent="0.25">
      <c r="B182" s="14" t="s">
        <v>414</v>
      </c>
      <c r="C182" s="15" t="s">
        <v>1718</v>
      </c>
      <c r="D182" s="21" t="s">
        <v>121</v>
      </c>
      <c r="E182" s="16" t="s">
        <v>337</v>
      </c>
      <c r="F182" s="21" t="s">
        <v>493</v>
      </c>
      <c r="G182" s="22">
        <f>5244-517+563</f>
        <v>5290</v>
      </c>
      <c r="H182" s="17">
        <f t="shared" si="10"/>
        <v>5554.5</v>
      </c>
      <c r="I182" s="17">
        <v>5833</v>
      </c>
      <c r="J182" s="112">
        <f t="shared" si="11"/>
        <v>6299.64</v>
      </c>
      <c r="K182" s="112">
        <v>6299.64</v>
      </c>
      <c r="L182" s="17">
        <f t="shared" si="9"/>
        <v>3754.5854399999998</v>
      </c>
      <c r="M182" t="s">
        <v>3246</v>
      </c>
    </row>
    <row r="183" spans="1:13" x14ac:dyDescent="0.25">
      <c r="B183" s="14" t="s">
        <v>415</v>
      </c>
      <c r="C183" s="15" t="s">
        <v>1718</v>
      </c>
      <c r="D183" s="21" t="s">
        <v>122</v>
      </c>
      <c r="E183" s="16" t="s">
        <v>338</v>
      </c>
      <c r="F183" s="21" t="s">
        <v>493</v>
      </c>
      <c r="G183" s="22">
        <f>5178-517+563</f>
        <v>5224</v>
      </c>
      <c r="H183" s="17">
        <f t="shared" si="10"/>
        <v>5485.2</v>
      </c>
      <c r="I183" s="17">
        <v>5761</v>
      </c>
      <c r="J183" s="112">
        <f t="shared" si="11"/>
        <v>6221.88</v>
      </c>
      <c r="K183" s="112">
        <v>6221.88</v>
      </c>
      <c r="L183" s="17">
        <f t="shared" si="9"/>
        <v>3708.2404799999999</v>
      </c>
      <c r="M183" t="s">
        <v>3246</v>
      </c>
    </row>
    <row r="184" spans="1:13" x14ac:dyDescent="0.25">
      <c r="B184" s="14" t="s">
        <v>416</v>
      </c>
      <c r="C184" s="15" t="s">
        <v>1718</v>
      </c>
      <c r="D184" s="21" t="s">
        <v>123</v>
      </c>
      <c r="E184" s="16" t="s">
        <v>339</v>
      </c>
      <c r="F184" s="21" t="s">
        <v>494</v>
      </c>
      <c r="G184" s="22">
        <f>5359-517+563</f>
        <v>5405</v>
      </c>
      <c r="H184" s="17">
        <f t="shared" si="10"/>
        <v>5675.25</v>
      </c>
      <c r="I184" s="17">
        <v>5970</v>
      </c>
      <c r="J184" s="112">
        <f t="shared" si="11"/>
        <v>6447.6</v>
      </c>
      <c r="K184" s="112">
        <v>6447.6</v>
      </c>
      <c r="L184" s="17">
        <f t="shared" si="9"/>
        <v>3842.7696000000001</v>
      </c>
      <c r="M184" t="s">
        <v>3246</v>
      </c>
    </row>
    <row r="185" spans="1:13" x14ac:dyDescent="0.25">
      <c r="B185" s="14" t="s">
        <v>417</v>
      </c>
      <c r="C185" s="15" t="s">
        <v>1718</v>
      </c>
      <c r="D185" s="21" t="s">
        <v>138</v>
      </c>
      <c r="E185" s="16" t="s">
        <v>340</v>
      </c>
      <c r="F185" s="21" t="s">
        <v>495</v>
      </c>
      <c r="G185" s="22">
        <f>5718-517+563</f>
        <v>5764</v>
      </c>
      <c r="H185" s="17">
        <f t="shared" si="10"/>
        <v>6052.2</v>
      </c>
      <c r="I185" s="17">
        <v>6356</v>
      </c>
      <c r="J185" s="112">
        <f t="shared" si="11"/>
        <v>6864.4800000000005</v>
      </c>
      <c r="K185" s="112">
        <v>6864.4800000000005</v>
      </c>
      <c r="L185" s="17">
        <f t="shared" si="9"/>
        <v>4091.2300800000003</v>
      </c>
      <c r="M185" t="s">
        <v>3246</v>
      </c>
    </row>
    <row r="186" spans="1:13" x14ac:dyDescent="0.25">
      <c r="B186" s="14" t="s">
        <v>418</v>
      </c>
      <c r="C186" s="15" t="s">
        <v>1718</v>
      </c>
      <c r="D186" s="21" t="s">
        <v>139</v>
      </c>
      <c r="E186" s="16" t="s">
        <v>341</v>
      </c>
      <c r="F186" s="21" t="s">
        <v>494</v>
      </c>
      <c r="G186" s="22">
        <f>5646-517+563</f>
        <v>5692</v>
      </c>
      <c r="H186" s="17">
        <f t="shared" si="10"/>
        <v>5976.6</v>
      </c>
      <c r="I186" s="17">
        <v>6277</v>
      </c>
      <c r="J186" s="112">
        <f t="shared" si="11"/>
        <v>6779.1600000000008</v>
      </c>
      <c r="K186" s="112">
        <v>6779.1600000000008</v>
      </c>
      <c r="L186" s="17">
        <f t="shared" si="9"/>
        <v>4040.3793600000004</v>
      </c>
      <c r="M186" t="s">
        <v>3246</v>
      </c>
    </row>
    <row r="187" spans="1:13" x14ac:dyDescent="0.25">
      <c r="B187" s="14" t="s">
        <v>419</v>
      </c>
      <c r="C187" s="15" t="s">
        <v>1718</v>
      </c>
      <c r="D187" s="21" t="s">
        <v>140</v>
      </c>
      <c r="E187" s="16" t="s">
        <v>342</v>
      </c>
      <c r="F187" s="21" t="s">
        <v>495</v>
      </c>
      <c r="G187" s="22">
        <f>5860-517+563</f>
        <v>5906</v>
      </c>
      <c r="H187" s="17">
        <f t="shared" si="10"/>
        <v>6201.3</v>
      </c>
      <c r="I187" s="17">
        <v>6513</v>
      </c>
      <c r="J187" s="112">
        <f t="shared" si="11"/>
        <v>7034.0400000000009</v>
      </c>
      <c r="K187" s="112">
        <v>7034.0400000000009</v>
      </c>
      <c r="L187" s="17">
        <f t="shared" si="9"/>
        <v>4192.28784</v>
      </c>
      <c r="M187" t="s">
        <v>3246</v>
      </c>
    </row>
    <row r="188" spans="1:13" x14ac:dyDescent="0.25">
      <c r="B188" s="14" t="s">
        <v>420</v>
      </c>
      <c r="C188" s="15" t="s">
        <v>1718</v>
      </c>
      <c r="D188" s="21" t="s">
        <v>141</v>
      </c>
      <c r="E188" s="16" t="s">
        <v>343</v>
      </c>
      <c r="F188" s="21" t="s">
        <v>495</v>
      </c>
      <c r="G188" s="22">
        <f>6311-517+563</f>
        <v>6357</v>
      </c>
      <c r="H188" s="17">
        <f t="shared" si="10"/>
        <v>6674.85</v>
      </c>
      <c r="I188" s="17">
        <v>7011</v>
      </c>
      <c r="J188" s="112">
        <f t="shared" si="11"/>
        <v>7571.88</v>
      </c>
      <c r="K188" s="112">
        <v>7571.88</v>
      </c>
      <c r="L188" s="17">
        <f t="shared" si="9"/>
        <v>4512.8404799999998</v>
      </c>
      <c r="M188" t="s">
        <v>3246</v>
      </c>
    </row>
    <row r="189" spans="1:13" x14ac:dyDescent="0.25">
      <c r="B189" s="14" t="s">
        <v>421</v>
      </c>
      <c r="C189" s="15" t="s">
        <v>1718</v>
      </c>
      <c r="D189" s="21" t="s">
        <v>124</v>
      </c>
      <c r="E189" s="16" t="s">
        <v>344</v>
      </c>
      <c r="F189" s="21" t="s">
        <v>157</v>
      </c>
      <c r="G189" s="22">
        <v>3896</v>
      </c>
      <c r="H189" s="17">
        <f t="shared" si="10"/>
        <v>4090.8</v>
      </c>
      <c r="I189" s="17">
        <v>4297</v>
      </c>
      <c r="J189" s="112">
        <f t="shared" si="11"/>
        <v>4640.76</v>
      </c>
      <c r="K189" s="112">
        <v>4640.76</v>
      </c>
      <c r="L189" s="17">
        <f t="shared" si="9"/>
        <v>2765.8929600000001</v>
      </c>
      <c r="M189" t="s">
        <v>3246</v>
      </c>
    </row>
    <row r="190" spans="1:13" x14ac:dyDescent="0.25">
      <c r="B190" s="14" t="s">
        <v>422</v>
      </c>
      <c r="C190" s="15" t="s">
        <v>1718</v>
      </c>
      <c r="D190" s="21" t="s">
        <v>125</v>
      </c>
      <c r="E190" s="16" t="s">
        <v>345</v>
      </c>
      <c r="F190" s="21" t="s">
        <v>157</v>
      </c>
      <c r="G190" s="22">
        <v>4648</v>
      </c>
      <c r="H190" s="17">
        <f t="shared" si="10"/>
        <v>4880.4000000000005</v>
      </c>
      <c r="I190" s="17">
        <v>5126</v>
      </c>
      <c r="J190" s="112">
        <f t="shared" si="11"/>
        <v>5536.08</v>
      </c>
      <c r="K190" s="112">
        <v>5536.08</v>
      </c>
      <c r="L190" s="17">
        <f t="shared" si="9"/>
        <v>3299.5036799999998</v>
      </c>
      <c r="M190" t="s">
        <v>3246</v>
      </c>
    </row>
    <row r="191" spans="1:13" x14ac:dyDescent="0.25">
      <c r="A191" t="s">
        <v>2908</v>
      </c>
      <c r="B191" s="14" t="s">
        <v>423</v>
      </c>
      <c r="C191" s="15" t="s">
        <v>1718</v>
      </c>
      <c r="D191" s="21" t="s">
        <v>126</v>
      </c>
      <c r="E191" s="16" t="s">
        <v>346</v>
      </c>
      <c r="F191" s="21" t="s">
        <v>157</v>
      </c>
      <c r="G191" s="22">
        <v>4572</v>
      </c>
      <c r="H191" s="17">
        <f t="shared" si="10"/>
        <v>4800.6000000000004</v>
      </c>
      <c r="I191" s="17">
        <v>5042</v>
      </c>
      <c r="J191" s="112">
        <f t="shared" si="11"/>
        <v>5445.3600000000006</v>
      </c>
      <c r="K191" s="112">
        <v>5445.3600000000006</v>
      </c>
      <c r="L191" s="17">
        <f t="shared" si="9"/>
        <v>3245.4345600000001</v>
      </c>
      <c r="M191" t="s">
        <v>3246</v>
      </c>
    </row>
    <row r="192" spans="1:13" x14ac:dyDescent="0.25">
      <c r="B192" s="14" t="s">
        <v>424</v>
      </c>
      <c r="C192" s="15" t="s">
        <v>1718</v>
      </c>
      <c r="D192" s="21" t="s">
        <v>127</v>
      </c>
      <c r="E192" s="16" t="s">
        <v>347</v>
      </c>
      <c r="F192" s="21" t="s">
        <v>157</v>
      </c>
      <c r="G192" s="22">
        <v>4802</v>
      </c>
      <c r="H192" s="17">
        <f t="shared" si="10"/>
        <v>5042.1000000000004</v>
      </c>
      <c r="I192" s="17">
        <v>5295</v>
      </c>
      <c r="J192" s="112">
        <f t="shared" si="11"/>
        <v>5718.6</v>
      </c>
      <c r="K192" s="112">
        <v>5718.6</v>
      </c>
      <c r="L192" s="17">
        <f t="shared" si="9"/>
        <v>3408.2856000000002</v>
      </c>
      <c r="M192" t="s">
        <v>3246</v>
      </c>
    </row>
    <row r="193" spans="2:13" x14ac:dyDescent="0.25">
      <c r="B193" s="14" t="s">
        <v>425</v>
      </c>
      <c r="C193" s="15" t="s">
        <v>1718</v>
      </c>
      <c r="D193" s="21" t="s">
        <v>128</v>
      </c>
      <c r="E193" s="16" t="s">
        <v>348</v>
      </c>
      <c r="F193" s="21" t="s">
        <v>493</v>
      </c>
      <c r="G193" s="22">
        <f>5428-517+563</f>
        <v>5474</v>
      </c>
      <c r="H193" s="17">
        <f t="shared" si="10"/>
        <v>5747.7</v>
      </c>
      <c r="I193" s="17">
        <v>6037</v>
      </c>
      <c r="J193" s="112">
        <f t="shared" si="11"/>
        <v>6519.96</v>
      </c>
      <c r="K193" s="112">
        <v>6519.96</v>
      </c>
      <c r="L193" s="17">
        <f t="shared" ref="L193:L255" si="13">K193*0.596</f>
        <v>3885.8961599999998</v>
      </c>
      <c r="M193" t="s">
        <v>3246</v>
      </c>
    </row>
    <row r="194" spans="2:13" x14ac:dyDescent="0.25">
      <c r="B194" s="14" t="s">
        <v>426</v>
      </c>
      <c r="C194" s="15" t="s">
        <v>1718</v>
      </c>
      <c r="D194" s="21" t="s">
        <v>129</v>
      </c>
      <c r="E194" s="16" t="s">
        <v>349</v>
      </c>
      <c r="F194" s="21" t="s">
        <v>493</v>
      </c>
      <c r="G194" s="22">
        <f>5630-517+563</f>
        <v>5676</v>
      </c>
      <c r="H194" s="17">
        <f t="shared" ref="H194:H257" si="14">G194*1.05</f>
        <v>5959.8</v>
      </c>
      <c r="I194" s="17">
        <v>6259</v>
      </c>
      <c r="J194" s="112">
        <f t="shared" ref="J194:J257" si="15">I194*1.08</f>
        <v>6759.72</v>
      </c>
      <c r="K194" s="112">
        <v>6759.72</v>
      </c>
      <c r="L194" s="17">
        <f t="shared" si="13"/>
        <v>4028.7931199999998</v>
      </c>
      <c r="M194" t="s">
        <v>3246</v>
      </c>
    </row>
    <row r="195" spans="2:13" x14ac:dyDescent="0.25">
      <c r="B195" s="14" t="s">
        <v>427</v>
      </c>
      <c r="C195" s="15" t="s">
        <v>1718</v>
      </c>
      <c r="D195" s="21" t="s">
        <v>130</v>
      </c>
      <c r="E195" s="16" t="s">
        <v>350</v>
      </c>
      <c r="F195" s="21" t="s">
        <v>494</v>
      </c>
      <c r="G195" s="22">
        <f>5841-517+563</f>
        <v>5887</v>
      </c>
      <c r="H195" s="17">
        <f t="shared" si="14"/>
        <v>6181.35</v>
      </c>
      <c r="I195" s="17">
        <v>6492</v>
      </c>
      <c r="J195" s="112">
        <f t="shared" si="15"/>
        <v>7011.3600000000006</v>
      </c>
      <c r="K195" s="112">
        <v>7011.3600000000006</v>
      </c>
      <c r="L195" s="17">
        <f t="shared" si="13"/>
        <v>4178.7705599999999</v>
      </c>
      <c r="M195" t="s">
        <v>3246</v>
      </c>
    </row>
    <row r="196" spans="2:13" x14ac:dyDescent="0.25">
      <c r="B196" s="14" t="s">
        <v>428</v>
      </c>
      <c r="C196" s="15" t="s">
        <v>1718</v>
      </c>
      <c r="D196" s="21" t="s">
        <v>142</v>
      </c>
      <c r="E196" s="16" t="s">
        <v>351</v>
      </c>
      <c r="F196" s="21" t="s">
        <v>495</v>
      </c>
      <c r="G196" s="22">
        <f>6276-517+563</f>
        <v>6322</v>
      </c>
      <c r="H196" s="17">
        <f t="shared" si="14"/>
        <v>6638.1</v>
      </c>
      <c r="I196" s="17">
        <v>6972</v>
      </c>
      <c r="J196" s="112">
        <f t="shared" si="15"/>
        <v>7529.76</v>
      </c>
      <c r="K196" s="112">
        <v>7529.76</v>
      </c>
      <c r="L196" s="17">
        <f t="shared" si="13"/>
        <v>4487.7369600000002</v>
      </c>
      <c r="M196" t="s">
        <v>3246</v>
      </c>
    </row>
    <row r="197" spans="2:13" x14ac:dyDescent="0.25">
      <c r="B197" s="14" t="s">
        <v>429</v>
      </c>
      <c r="C197" s="15" t="s">
        <v>1718</v>
      </c>
      <c r="D197" s="21" t="s">
        <v>143</v>
      </c>
      <c r="E197" s="16" t="s">
        <v>352</v>
      </c>
      <c r="F197" s="21" t="s">
        <v>494</v>
      </c>
      <c r="G197" s="22">
        <f>6441-517+563</f>
        <v>6487</v>
      </c>
      <c r="H197" s="17">
        <f t="shared" si="14"/>
        <v>6811.35</v>
      </c>
      <c r="I197" s="17">
        <v>7153</v>
      </c>
      <c r="J197" s="112">
        <f t="shared" si="15"/>
        <v>7725.2400000000007</v>
      </c>
      <c r="K197" s="112">
        <v>7725.2400000000007</v>
      </c>
      <c r="L197" s="17">
        <f t="shared" si="13"/>
        <v>4604.2430400000003</v>
      </c>
      <c r="M197" t="s">
        <v>3246</v>
      </c>
    </row>
    <row r="198" spans="2:13" x14ac:dyDescent="0.25">
      <c r="B198" s="14" t="s">
        <v>430</v>
      </c>
      <c r="C198" s="15" t="s">
        <v>1718</v>
      </c>
      <c r="D198" s="21" t="s">
        <v>144</v>
      </c>
      <c r="E198" s="16" t="s">
        <v>353</v>
      </c>
      <c r="F198" s="21" t="s">
        <v>495</v>
      </c>
      <c r="G198" s="22">
        <f>6388-517+563</f>
        <v>6434</v>
      </c>
      <c r="H198" s="17">
        <f t="shared" si="14"/>
        <v>6755.7000000000007</v>
      </c>
      <c r="I198" s="17">
        <v>7095</v>
      </c>
      <c r="J198" s="112">
        <f t="shared" si="15"/>
        <v>7662.6</v>
      </c>
      <c r="K198" s="112">
        <v>7662.6</v>
      </c>
      <c r="L198" s="17">
        <f t="shared" si="13"/>
        <v>4566.9096</v>
      </c>
      <c r="M198" t="s">
        <v>3246</v>
      </c>
    </row>
    <row r="199" spans="2:13" x14ac:dyDescent="0.25">
      <c r="B199" s="14" t="s">
        <v>431</v>
      </c>
      <c r="C199" s="15" t="s">
        <v>1718</v>
      </c>
      <c r="D199" s="21" t="s">
        <v>145</v>
      </c>
      <c r="E199" s="16" t="s">
        <v>354</v>
      </c>
      <c r="F199" s="21" t="s">
        <v>495</v>
      </c>
      <c r="G199" s="22">
        <f>7816-517+563</f>
        <v>7862</v>
      </c>
      <c r="H199" s="17">
        <f t="shared" si="14"/>
        <v>8255.1</v>
      </c>
      <c r="I199" s="17">
        <v>8669</v>
      </c>
      <c r="J199" s="112">
        <f t="shared" si="15"/>
        <v>9362.52</v>
      </c>
      <c r="K199" s="112">
        <v>9362.52</v>
      </c>
      <c r="L199" s="17">
        <f t="shared" si="13"/>
        <v>5580.0619200000001</v>
      </c>
      <c r="M199" t="s">
        <v>3246</v>
      </c>
    </row>
    <row r="200" spans="2:13" x14ac:dyDescent="0.25">
      <c r="B200" s="14" t="s">
        <v>432</v>
      </c>
      <c r="C200" s="15" t="s">
        <v>1718</v>
      </c>
      <c r="D200" s="21" t="s">
        <v>131</v>
      </c>
      <c r="E200" s="16" t="s">
        <v>355</v>
      </c>
      <c r="F200" s="21" t="s">
        <v>157</v>
      </c>
      <c r="G200" s="22">
        <v>4538</v>
      </c>
      <c r="H200" s="17">
        <f t="shared" si="14"/>
        <v>4764.9000000000005</v>
      </c>
      <c r="I200" s="17">
        <v>5005</v>
      </c>
      <c r="J200" s="112">
        <f t="shared" si="15"/>
        <v>5405.4000000000005</v>
      </c>
      <c r="K200" s="112">
        <v>5405.4000000000005</v>
      </c>
      <c r="L200" s="17">
        <f t="shared" si="13"/>
        <v>3221.6184000000003</v>
      </c>
      <c r="M200" t="s">
        <v>3246</v>
      </c>
    </row>
    <row r="201" spans="2:13" x14ac:dyDescent="0.25">
      <c r="B201" s="14" t="s">
        <v>433</v>
      </c>
      <c r="C201" s="15" t="s">
        <v>1718</v>
      </c>
      <c r="D201" s="21" t="s">
        <v>132</v>
      </c>
      <c r="E201" s="16" t="s">
        <v>356</v>
      </c>
      <c r="F201" s="21" t="s">
        <v>157</v>
      </c>
      <c r="G201" s="22">
        <v>4785</v>
      </c>
      <c r="H201" s="17">
        <f t="shared" si="14"/>
        <v>5024.25</v>
      </c>
      <c r="I201" s="17">
        <v>5277</v>
      </c>
      <c r="J201" s="112">
        <f t="shared" si="15"/>
        <v>5699.1600000000008</v>
      </c>
      <c r="K201" s="112">
        <v>5699.1600000000008</v>
      </c>
      <c r="L201" s="17">
        <f t="shared" si="13"/>
        <v>3396.6993600000005</v>
      </c>
      <c r="M201" t="s">
        <v>3246</v>
      </c>
    </row>
    <row r="202" spans="2:13" x14ac:dyDescent="0.25">
      <c r="B202" s="14" t="s">
        <v>434</v>
      </c>
      <c r="C202" s="15" t="s">
        <v>1718</v>
      </c>
      <c r="D202" s="21" t="s">
        <v>133</v>
      </c>
      <c r="E202" s="16" t="s">
        <v>357</v>
      </c>
      <c r="F202" s="21" t="s">
        <v>157</v>
      </c>
      <c r="G202" s="22">
        <v>4688</v>
      </c>
      <c r="H202" s="17">
        <f t="shared" si="14"/>
        <v>4922.4000000000005</v>
      </c>
      <c r="I202" s="17">
        <v>5170</v>
      </c>
      <c r="J202" s="112">
        <f t="shared" si="15"/>
        <v>5583.6</v>
      </c>
      <c r="K202" s="112">
        <v>5583.6</v>
      </c>
      <c r="L202" s="17">
        <f t="shared" si="13"/>
        <v>3327.8256000000001</v>
      </c>
      <c r="M202" t="s">
        <v>3246</v>
      </c>
    </row>
    <row r="203" spans="2:13" x14ac:dyDescent="0.25">
      <c r="B203" s="14" t="s">
        <v>435</v>
      </c>
      <c r="C203" s="15" t="s">
        <v>1718</v>
      </c>
      <c r="D203" s="15" t="s">
        <v>134</v>
      </c>
      <c r="E203" s="16" t="s">
        <v>358</v>
      </c>
      <c r="F203" s="21" t="s">
        <v>157</v>
      </c>
      <c r="G203" s="22">
        <v>4940</v>
      </c>
      <c r="H203" s="17">
        <f t="shared" si="14"/>
        <v>5187</v>
      </c>
      <c r="I203" s="17">
        <v>5448</v>
      </c>
      <c r="J203" s="112">
        <f t="shared" si="15"/>
        <v>5883.84</v>
      </c>
      <c r="K203" s="112">
        <v>5883.84</v>
      </c>
      <c r="L203" s="17">
        <f t="shared" si="13"/>
        <v>3506.7686399999998</v>
      </c>
      <c r="M203" t="s">
        <v>3246</v>
      </c>
    </row>
    <row r="204" spans="2:13" x14ac:dyDescent="0.25">
      <c r="B204" s="14" t="s">
        <v>436</v>
      </c>
      <c r="C204" s="15" t="s">
        <v>1718</v>
      </c>
      <c r="D204" s="21" t="s">
        <v>135</v>
      </c>
      <c r="E204" s="16" t="s">
        <v>359</v>
      </c>
      <c r="F204" s="21" t="s">
        <v>493</v>
      </c>
      <c r="G204" s="22">
        <f>5192-517+563</f>
        <v>5238</v>
      </c>
      <c r="H204" s="17">
        <f t="shared" si="14"/>
        <v>5499.9000000000005</v>
      </c>
      <c r="I204" s="17">
        <v>5776</v>
      </c>
      <c r="J204" s="112">
        <f t="shared" si="15"/>
        <v>6238.0800000000008</v>
      </c>
      <c r="K204" s="112">
        <v>6238.0800000000008</v>
      </c>
      <c r="L204" s="17">
        <f t="shared" si="13"/>
        <v>3717.8956800000005</v>
      </c>
      <c r="M204" t="s">
        <v>3246</v>
      </c>
    </row>
    <row r="205" spans="2:13" x14ac:dyDescent="0.25">
      <c r="B205" s="14" t="s">
        <v>437</v>
      </c>
      <c r="C205" s="15" t="s">
        <v>1718</v>
      </c>
      <c r="D205" s="21" t="s">
        <v>136</v>
      </c>
      <c r="E205" s="16" t="s">
        <v>360</v>
      </c>
      <c r="F205" s="21" t="s">
        <v>493</v>
      </c>
      <c r="G205" s="22">
        <f>6081-517+563</f>
        <v>6127</v>
      </c>
      <c r="H205" s="17">
        <f t="shared" si="14"/>
        <v>6433.35</v>
      </c>
      <c r="I205" s="17">
        <v>6757</v>
      </c>
      <c r="J205" s="112">
        <f t="shared" si="15"/>
        <v>7297.56</v>
      </c>
      <c r="K205" s="112">
        <v>7297.56</v>
      </c>
      <c r="L205" s="17">
        <f t="shared" si="13"/>
        <v>4349.3457600000002</v>
      </c>
      <c r="M205" t="s">
        <v>3246</v>
      </c>
    </row>
    <row r="206" spans="2:13" x14ac:dyDescent="0.25">
      <c r="B206" s="14" t="s">
        <v>438</v>
      </c>
      <c r="C206" s="15" t="s">
        <v>1718</v>
      </c>
      <c r="D206" s="21" t="s">
        <v>137</v>
      </c>
      <c r="E206" s="16" t="s">
        <v>361</v>
      </c>
      <c r="F206" s="21" t="s">
        <v>494</v>
      </c>
      <c r="G206" s="22">
        <f>6223-517+563</f>
        <v>6269</v>
      </c>
      <c r="H206" s="17">
        <f t="shared" si="14"/>
        <v>6582.4500000000007</v>
      </c>
      <c r="I206" s="17">
        <v>6913</v>
      </c>
      <c r="J206" s="112">
        <f t="shared" si="15"/>
        <v>7466.0400000000009</v>
      </c>
      <c r="K206" s="112">
        <v>7466.0400000000009</v>
      </c>
      <c r="L206" s="17">
        <f t="shared" si="13"/>
        <v>4449.7598400000006</v>
      </c>
      <c r="M206" t="s">
        <v>3246</v>
      </c>
    </row>
    <row r="207" spans="2:13" x14ac:dyDescent="0.25">
      <c r="B207" s="14" t="s">
        <v>439</v>
      </c>
      <c r="C207" s="15" t="s">
        <v>1718</v>
      </c>
      <c r="D207" s="21" t="s">
        <v>146</v>
      </c>
      <c r="E207" s="16" t="s">
        <v>362</v>
      </c>
      <c r="F207" s="21" t="s">
        <v>495</v>
      </c>
      <c r="G207" s="22">
        <f>6547-517+563</f>
        <v>6593</v>
      </c>
      <c r="H207" s="17">
        <f t="shared" si="14"/>
        <v>6922.6500000000005</v>
      </c>
      <c r="I207" s="17">
        <v>7270</v>
      </c>
      <c r="J207" s="112">
        <f t="shared" si="15"/>
        <v>7851.6</v>
      </c>
      <c r="K207" s="112">
        <v>7851.6</v>
      </c>
      <c r="L207" s="17">
        <f t="shared" si="13"/>
        <v>4679.5536000000002</v>
      </c>
      <c r="M207" t="s">
        <v>3246</v>
      </c>
    </row>
    <row r="208" spans="2:13" x14ac:dyDescent="0.25">
      <c r="B208" s="14" t="s">
        <v>440</v>
      </c>
      <c r="C208" s="15" t="s">
        <v>1718</v>
      </c>
      <c r="D208" s="21" t="s">
        <v>156</v>
      </c>
      <c r="E208" s="16" t="s">
        <v>363</v>
      </c>
      <c r="F208" s="21" t="s">
        <v>494</v>
      </c>
      <c r="G208" s="22">
        <f>6117-517+563</f>
        <v>6163</v>
      </c>
      <c r="H208" s="17">
        <f t="shared" si="14"/>
        <v>6471.1500000000005</v>
      </c>
      <c r="I208" s="17">
        <v>6796</v>
      </c>
      <c r="J208" s="112">
        <f t="shared" si="15"/>
        <v>7339.68</v>
      </c>
      <c r="K208" s="112">
        <v>7339.68</v>
      </c>
      <c r="L208" s="17">
        <f t="shared" si="13"/>
        <v>4374.4492799999998</v>
      </c>
      <c r="M208" t="s">
        <v>3246</v>
      </c>
    </row>
    <row r="209" spans="1:13" x14ac:dyDescent="0.25">
      <c r="B209" s="14" t="s">
        <v>441</v>
      </c>
      <c r="C209" s="15" t="s">
        <v>1718</v>
      </c>
      <c r="D209" s="21" t="s">
        <v>148</v>
      </c>
      <c r="E209" s="16" t="s">
        <v>364</v>
      </c>
      <c r="F209" s="21" t="s">
        <v>495</v>
      </c>
      <c r="G209" s="22">
        <f>6955-517+563</f>
        <v>7001</v>
      </c>
      <c r="H209" s="17">
        <f t="shared" si="14"/>
        <v>7351.05</v>
      </c>
      <c r="I209" s="17">
        <v>7720</v>
      </c>
      <c r="J209" s="112">
        <f t="shared" si="15"/>
        <v>8337.6</v>
      </c>
      <c r="K209" s="112">
        <v>8337.6</v>
      </c>
      <c r="L209" s="17">
        <f t="shared" si="13"/>
        <v>4969.2096000000001</v>
      </c>
      <c r="M209" t="s">
        <v>3246</v>
      </c>
    </row>
    <row r="210" spans="1:13" x14ac:dyDescent="0.25">
      <c r="B210" s="14" t="s">
        <v>442</v>
      </c>
      <c r="C210" s="15" t="s">
        <v>1718</v>
      </c>
      <c r="D210" s="21" t="s">
        <v>149</v>
      </c>
      <c r="E210" s="16" t="s">
        <v>365</v>
      </c>
      <c r="F210" s="21" t="s">
        <v>495</v>
      </c>
      <c r="G210" s="22">
        <f>8355-517+563</f>
        <v>8401</v>
      </c>
      <c r="H210" s="17">
        <f t="shared" si="14"/>
        <v>8821.0500000000011</v>
      </c>
      <c r="I210" s="17">
        <v>9264</v>
      </c>
      <c r="J210" s="112">
        <f t="shared" si="15"/>
        <v>10005.120000000001</v>
      </c>
      <c r="K210" s="112">
        <v>10005.120000000001</v>
      </c>
      <c r="L210" s="17">
        <f t="shared" si="13"/>
        <v>5963.05152</v>
      </c>
      <c r="M210" t="s">
        <v>3246</v>
      </c>
    </row>
    <row r="211" spans="1:13" s="62" customFormat="1" x14ac:dyDescent="0.25">
      <c r="A211" s="62" t="s">
        <v>2907</v>
      </c>
      <c r="B211" s="67" t="s">
        <v>2904</v>
      </c>
      <c r="C211" s="68"/>
      <c r="D211" s="68"/>
      <c r="E211" s="69"/>
      <c r="F211" s="68"/>
      <c r="G211" s="74"/>
      <c r="H211" s="17"/>
      <c r="I211" s="17"/>
      <c r="J211" s="113"/>
      <c r="K211" s="70"/>
      <c r="L211" s="70"/>
    </row>
    <row r="212" spans="1:13" x14ac:dyDescent="0.25">
      <c r="A212" s="4"/>
      <c r="B212" s="14" t="s">
        <v>443</v>
      </c>
      <c r="C212" s="15" t="s">
        <v>487</v>
      </c>
      <c r="D212" s="21" t="s">
        <v>16</v>
      </c>
      <c r="E212" s="16" t="s">
        <v>366</v>
      </c>
      <c r="F212" s="21" t="s">
        <v>158</v>
      </c>
      <c r="G212" s="20">
        <v>4375</v>
      </c>
      <c r="H212" s="17">
        <f t="shared" si="14"/>
        <v>4593.75</v>
      </c>
      <c r="I212" s="17">
        <f t="shared" ref="I212:I257" si="16">H212*1.05</f>
        <v>4823.4375</v>
      </c>
      <c r="J212" s="112">
        <f t="shared" si="15"/>
        <v>5209.3125</v>
      </c>
      <c r="K212" s="112">
        <f>J212*1.11</f>
        <v>5782.3368750000009</v>
      </c>
      <c r="L212" s="17">
        <f t="shared" si="13"/>
        <v>3446.2727775000003</v>
      </c>
      <c r="M212" t="s">
        <v>4001</v>
      </c>
    </row>
    <row r="213" spans="1:13" x14ac:dyDescent="0.25">
      <c r="A213" s="30"/>
      <c r="B213" s="14" t="s">
        <v>444</v>
      </c>
      <c r="C213" s="15" t="s">
        <v>487</v>
      </c>
      <c r="D213" s="21" t="s">
        <v>17</v>
      </c>
      <c r="E213" s="16" t="s">
        <v>367</v>
      </c>
      <c r="F213" s="21" t="s">
        <v>158</v>
      </c>
      <c r="G213" s="20">
        <v>4562</v>
      </c>
      <c r="H213" s="17">
        <f t="shared" si="14"/>
        <v>4790.1000000000004</v>
      </c>
      <c r="I213" s="17">
        <f t="shared" si="16"/>
        <v>5029.6050000000005</v>
      </c>
      <c r="J213" s="112">
        <f t="shared" si="15"/>
        <v>5431.9734000000008</v>
      </c>
      <c r="K213" s="112">
        <f t="shared" ref="K213:K255" si="17">J213*1.11</f>
        <v>6029.4904740000011</v>
      </c>
      <c r="L213" s="17">
        <f t="shared" si="13"/>
        <v>3593.5763225040005</v>
      </c>
      <c r="M213" t="s">
        <v>4001</v>
      </c>
    </row>
    <row r="214" spans="1:13" x14ac:dyDescent="0.25">
      <c r="B214" s="14" t="s">
        <v>445</v>
      </c>
      <c r="C214" s="15" t="s">
        <v>487</v>
      </c>
      <c r="D214" s="21" t="s">
        <v>18</v>
      </c>
      <c r="E214" s="16" t="s">
        <v>368</v>
      </c>
      <c r="F214" s="21" t="s">
        <v>158</v>
      </c>
      <c r="G214" s="20">
        <v>4750</v>
      </c>
      <c r="H214" s="17">
        <f t="shared" si="14"/>
        <v>4987.5</v>
      </c>
      <c r="I214" s="17">
        <f t="shared" si="16"/>
        <v>5236.875</v>
      </c>
      <c r="J214" s="112">
        <f t="shared" si="15"/>
        <v>5655.8250000000007</v>
      </c>
      <c r="K214" s="112">
        <f t="shared" si="17"/>
        <v>6277.9657500000012</v>
      </c>
      <c r="L214" s="17">
        <f t="shared" si="13"/>
        <v>3741.6675870000004</v>
      </c>
      <c r="M214" t="s">
        <v>4001</v>
      </c>
    </row>
    <row r="215" spans="1:13" x14ac:dyDescent="0.25">
      <c r="B215" s="14" t="s">
        <v>446</v>
      </c>
      <c r="C215" s="15" t="s">
        <v>487</v>
      </c>
      <c r="D215" s="21" t="s">
        <v>19</v>
      </c>
      <c r="E215" s="16" t="s">
        <v>369</v>
      </c>
      <c r="F215" s="21" t="s">
        <v>158</v>
      </c>
      <c r="G215" s="20">
        <v>4937</v>
      </c>
      <c r="H215" s="17">
        <f t="shared" si="14"/>
        <v>5183.8500000000004</v>
      </c>
      <c r="I215" s="17">
        <f t="shared" si="16"/>
        <v>5443.0425000000005</v>
      </c>
      <c r="J215" s="112">
        <f t="shared" si="15"/>
        <v>5878.4859000000006</v>
      </c>
      <c r="K215" s="112">
        <f t="shared" si="17"/>
        <v>6525.1193490000014</v>
      </c>
      <c r="L215" s="17">
        <f t="shared" si="13"/>
        <v>3888.9711320040005</v>
      </c>
      <c r="M215" t="s">
        <v>4001</v>
      </c>
    </row>
    <row r="216" spans="1:13" x14ac:dyDescent="0.25">
      <c r="B216" s="14" t="s">
        <v>447</v>
      </c>
      <c r="C216" s="15" t="s">
        <v>487</v>
      </c>
      <c r="D216" s="21" t="s">
        <v>20</v>
      </c>
      <c r="E216" s="16" t="s">
        <v>370</v>
      </c>
      <c r="F216" s="21" t="s">
        <v>159</v>
      </c>
      <c r="G216" s="20">
        <v>6034</v>
      </c>
      <c r="H216" s="17">
        <f t="shared" si="14"/>
        <v>6335.7</v>
      </c>
      <c r="I216" s="17">
        <f t="shared" si="16"/>
        <v>6652.4849999999997</v>
      </c>
      <c r="J216" s="112">
        <f t="shared" si="15"/>
        <v>7184.6837999999998</v>
      </c>
      <c r="K216" s="112">
        <f t="shared" si="17"/>
        <v>7974.9990180000004</v>
      </c>
      <c r="L216" s="17">
        <f t="shared" si="13"/>
        <v>4753.0994147279998</v>
      </c>
      <c r="M216" t="s">
        <v>4001</v>
      </c>
    </row>
    <row r="217" spans="1:13" x14ac:dyDescent="0.25">
      <c r="B217" s="14" t="s">
        <v>448</v>
      </c>
      <c r="C217" s="15" t="s">
        <v>487</v>
      </c>
      <c r="D217" s="21" t="s">
        <v>150</v>
      </c>
      <c r="E217" s="16" t="s">
        <v>371</v>
      </c>
      <c r="F217" s="21" t="s">
        <v>159</v>
      </c>
      <c r="G217" s="20">
        <v>6797</v>
      </c>
      <c r="H217" s="17">
        <f t="shared" si="14"/>
        <v>7136.85</v>
      </c>
      <c r="I217" s="17">
        <f t="shared" si="16"/>
        <v>7493.692500000001</v>
      </c>
      <c r="J217" s="112">
        <f t="shared" si="15"/>
        <v>8093.1879000000017</v>
      </c>
      <c r="K217" s="112">
        <f t="shared" si="17"/>
        <v>8983.4385690000036</v>
      </c>
      <c r="L217" s="17">
        <f t="shared" si="13"/>
        <v>5354.1293871240023</v>
      </c>
      <c r="M217" t="s">
        <v>4001</v>
      </c>
    </row>
    <row r="218" spans="1:13" x14ac:dyDescent="0.25">
      <c r="B218" s="14" t="s">
        <v>449</v>
      </c>
      <c r="C218" s="15" t="s">
        <v>487</v>
      </c>
      <c r="D218" s="21" t="s">
        <v>151</v>
      </c>
      <c r="E218" s="16" t="s">
        <v>372</v>
      </c>
      <c r="F218" s="21" t="s">
        <v>159</v>
      </c>
      <c r="G218" s="20">
        <v>6937</v>
      </c>
      <c r="H218" s="17">
        <f t="shared" si="14"/>
        <v>7283.85</v>
      </c>
      <c r="I218" s="17">
        <f t="shared" si="16"/>
        <v>7648.0425000000005</v>
      </c>
      <c r="J218" s="112">
        <f t="shared" si="15"/>
        <v>8259.8859000000011</v>
      </c>
      <c r="K218" s="112">
        <f t="shared" si="17"/>
        <v>9168.4733490000017</v>
      </c>
      <c r="L218" s="17">
        <f t="shared" si="13"/>
        <v>5464.4101160040009</v>
      </c>
      <c r="M218" t="s">
        <v>4001</v>
      </c>
    </row>
    <row r="219" spans="1:13" x14ac:dyDescent="0.25">
      <c r="B219" s="14" t="s">
        <v>450</v>
      </c>
      <c r="C219" s="15" t="s">
        <v>487</v>
      </c>
      <c r="D219" s="21" t="s">
        <v>152</v>
      </c>
      <c r="E219" s="16" t="s">
        <v>373</v>
      </c>
      <c r="F219" s="21" t="s">
        <v>160</v>
      </c>
      <c r="G219" s="20">
        <v>7770</v>
      </c>
      <c r="H219" s="17">
        <f t="shared" si="14"/>
        <v>8158.5</v>
      </c>
      <c r="I219" s="17">
        <f t="shared" si="16"/>
        <v>8566.4250000000011</v>
      </c>
      <c r="J219" s="112">
        <f t="shared" si="15"/>
        <v>9251.7390000000014</v>
      </c>
      <c r="K219" s="112">
        <f t="shared" si="17"/>
        <v>10269.430290000002</v>
      </c>
      <c r="L219" s="17">
        <f t="shared" si="13"/>
        <v>6120.5804528400013</v>
      </c>
      <c r="M219" t="s">
        <v>4001</v>
      </c>
    </row>
    <row r="220" spans="1:13" x14ac:dyDescent="0.25">
      <c r="B220" s="14" t="s">
        <v>451</v>
      </c>
      <c r="C220" s="15" t="s">
        <v>487</v>
      </c>
      <c r="D220" s="21" t="s">
        <v>153</v>
      </c>
      <c r="E220" s="16" t="s">
        <v>374</v>
      </c>
      <c r="F220" s="21" t="s">
        <v>160</v>
      </c>
      <c r="G220" s="20">
        <v>7877</v>
      </c>
      <c r="H220" s="17">
        <f t="shared" si="14"/>
        <v>8270.85</v>
      </c>
      <c r="I220" s="17">
        <f t="shared" si="16"/>
        <v>8684.3924999999999</v>
      </c>
      <c r="J220" s="112">
        <f t="shared" si="15"/>
        <v>9379.1439000000009</v>
      </c>
      <c r="K220" s="112">
        <f t="shared" si="17"/>
        <v>10410.849729000001</v>
      </c>
      <c r="L220" s="17">
        <f t="shared" si="13"/>
        <v>6204.8664384840004</v>
      </c>
      <c r="M220" t="s">
        <v>4001</v>
      </c>
    </row>
    <row r="221" spans="1:13" x14ac:dyDescent="0.25">
      <c r="B221" s="14" t="s">
        <v>452</v>
      </c>
      <c r="C221" s="15" t="s">
        <v>487</v>
      </c>
      <c r="D221" s="21" t="s">
        <v>154</v>
      </c>
      <c r="E221" s="16" t="s">
        <v>375</v>
      </c>
      <c r="F221" s="21" t="s">
        <v>160</v>
      </c>
      <c r="G221" s="20">
        <v>7880</v>
      </c>
      <c r="H221" s="17">
        <f t="shared" si="14"/>
        <v>8274</v>
      </c>
      <c r="I221" s="17">
        <f t="shared" si="16"/>
        <v>8687.7000000000007</v>
      </c>
      <c r="J221" s="112">
        <f t="shared" si="15"/>
        <v>9382.7160000000022</v>
      </c>
      <c r="K221" s="112">
        <f t="shared" si="17"/>
        <v>10414.814760000003</v>
      </c>
      <c r="L221" s="17">
        <f t="shared" si="13"/>
        <v>6207.2295969600018</v>
      </c>
      <c r="M221" t="s">
        <v>4001</v>
      </c>
    </row>
    <row r="222" spans="1:13" x14ac:dyDescent="0.25">
      <c r="B222" s="14" t="s">
        <v>453</v>
      </c>
      <c r="C222" s="15" t="s">
        <v>487</v>
      </c>
      <c r="D222" s="21" t="s">
        <v>141</v>
      </c>
      <c r="E222" s="16" t="s">
        <v>376</v>
      </c>
      <c r="F222" s="21" t="s">
        <v>160</v>
      </c>
      <c r="G222" s="20">
        <v>8095</v>
      </c>
      <c r="H222" s="17">
        <f t="shared" si="14"/>
        <v>8499.75</v>
      </c>
      <c r="I222" s="17">
        <f t="shared" si="16"/>
        <v>8924.7375000000011</v>
      </c>
      <c r="J222" s="112">
        <f t="shared" si="15"/>
        <v>9638.7165000000023</v>
      </c>
      <c r="K222" s="112">
        <f t="shared" si="17"/>
        <v>10698.975315000003</v>
      </c>
      <c r="L222" s="17">
        <f t="shared" si="13"/>
        <v>6376.589287740002</v>
      </c>
      <c r="M222" t="s">
        <v>4001</v>
      </c>
    </row>
    <row r="223" spans="1:13" x14ac:dyDescent="0.25">
      <c r="B223" s="14" t="s">
        <v>454</v>
      </c>
      <c r="C223" s="15" t="s">
        <v>487</v>
      </c>
      <c r="D223" s="21" t="s">
        <v>22</v>
      </c>
      <c r="E223" s="16" t="s">
        <v>377</v>
      </c>
      <c r="F223" s="21" t="s">
        <v>158</v>
      </c>
      <c r="G223" s="20">
        <v>4431</v>
      </c>
      <c r="H223" s="17">
        <f t="shared" si="14"/>
        <v>4652.55</v>
      </c>
      <c r="I223" s="17">
        <f t="shared" si="16"/>
        <v>4885.1775000000007</v>
      </c>
      <c r="J223" s="112">
        <f t="shared" si="15"/>
        <v>5275.9917000000014</v>
      </c>
      <c r="K223" s="112">
        <f t="shared" si="17"/>
        <v>5856.3507870000021</v>
      </c>
      <c r="L223" s="17">
        <f t="shared" si="13"/>
        <v>3490.3850690520012</v>
      </c>
      <c r="M223" t="s">
        <v>4001</v>
      </c>
    </row>
    <row r="224" spans="1:13" x14ac:dyDescent="0.25">
      <c r="B224" s="14" t="s">
        <v>455</v>
      </c>
      <c r="C224" s="15" t="s">
        <v>487</v>
      </c>
      <c r="D224" s="21" t="s">
        <v>23</v>
      </c>
      <c r="E224" s="16" t="s">
        <v>378</v>
      </c>
      <c r="F224" s="21" t="s">
        <v>158</v>
      </c>
      <c r="G224" s="20">
        <v>4624</v>
      </c>
      <c r="H224" s="17">
        <f t="shared" si="14"/>
        <v>4855.2</v>
      </c>
      <c r="I224" s="17">
        <f t="shared" si="16"/>
        <v>5097.96</v>
      </c>
      <c r="J224" s="112">
        <f t="shared" si="15"/>
        <v>5505.7968000000001</v>
      </c>
      <c r="K224" s="112">
        <f t="shared" si="17"/>
        <v>6111.4344480000009</v>
      </c>
      <c r="L224" s="17">
        <f t="shared" si="13"/>
        <v>3642.4149310080002</v>
      </c>
      <c r="M224" t="s">
        <v>4001</v>
      </c>
    </row>
    <row r="225" spans="1:13" x14ac:dyDescent="0.25">
      <c r="A225" t="s">
        <v>2909</v>
      </c>
      <c r="B225" s="14" t="s">
        <v>456</v>
      </c>
      <c r="C225" s="15" t="s">
        <v>487</v>
      </c>
      <c r="D225" s="21" t="s">
        <v>24</v>
      </c>
      <c r="E225" s="16" t="s">
        <v>379</v>
      </c>
      <c r="F225" s="21" t="s">
        <v>158</v>
      </c>
      <c r="G225" s="20">
        <v>4818</v>
      </c>
      <c r="H225" s="17">
        <f t="shared" si="14"/>
        <v>5058.9000000000005</v>
      </c>
      <c r="I225" s="17">
        <f t="shared" si="16"/>
        <v>5311.8450000000012</v>
      </c>
      <c r="J225" s="112">
        <f t="shared" si="15"/>
        <v>5736.7926000000016</v>
      </c>
      <c r="K225" s="112">
        <f t="shared" si="17"/>
        <v>6367.8397860000023</v>
      </c>
      <c r="L225" s="17">
        <f t="shared" si="13"/>
        <v>3795.2325124560011</v>
      </c>
      <c r="M225" t="s">
        <v>4001</v>
      </c>
    </row>
    <row r="226" spans="1:13" x14ac:dyDescent="0.25">
      <c r="B226" s="14" t="s">
        <v>457</v>
      </c>
      <c r="C226" s="15" t="s">
        <v>487</v>
      </c>
      <c r="D226" s="21" t="s">
        <v>120</v>
      </c>
      <c r="E226" s="16" t="s">
        <v>380</v>
      </c>
      <c r="F226" s="21" t="s">
        <v>158</v>
      </c>
      <c r="G226" s="20">
        <v>5010</v>
      </c>
      <c r="H226" s="17">
        <f t="shared" si="14"/>
        <v>5260.5</v>
      </c>
      <c r="I226" s="17">
        <f t="shared" si="16"/>
        <v>5523.5250000000005</v>
      </c>
      <c r="J226" s="112">
        <f t="shared" si="15"/>
        <v>5965.4070000000011</v>
      </c>
      <c r="K226" s="112">
        <f t="shared" si="17"/>
        <v>6621.601770000002</v>
      </c>
      <c r="L226" s="17">
        <f t="shared" si="13"/>
        <v>3946.4746549200008</v>
      </c>
      <c r="M226" t="s">
        <v>4001</v>
      </c>
    </row>
    <row r="227" spans="1:13" x14ac:dyDescent="0.25">
      <c r="B227" s="14" t="s">
        <v>458</v>
      </c>
      <c r="C227" s="15" t="s">
        <v>487</v>
      </c>
      <c r="D227" s="21" t="s">
        <v>121</v>
      </c>
      <c r="E227" s="16" t="s">
        <v>381</v>
      </c>
      <c r="F227" s="21" t="s">
        <v>159</v>
      </c>
      <c r="G227" s="20">
        <v>6109</v>
      </c>
      <c r="H227" s="17">
        <f t="shared" si="14"/>
        <v>6414.45</v>
      </c>
      <c r="I227" s="17">
        <f t="shared" si="16"/>
        <v>6735.1724999999997</v>
      </c>
      <c r="J227" s="112">
        <f t="shared" si="15"/>
        <v>7273.9863000000005</v>
      </c>
      <c r="K227" s="112">
        <f t="shared" si="17"/>
        <v>8074.1247930000009</v>
      </c>
      <c r="L227" s="17">
        <f t="shared" si="13"/>
        <v>4812.1783766280005</v>
      </c>
      <c r="M227" t="s">
        <v>4001</v>
      </c>
    </row>
    <row r="228" spans="1:13" x14ac:dyDescent="0.25">
      <c r="B228" s="14" t="s">
        <v>459</v>
      </c>
      <c r="C228" s="15" t="s">
        <v>487</v>
      </c>
      <c r="D228" s="21" t="s">
        <v>122</v>
      </c>
      <c r="E228" s="16" t="s">
        <v>382</v>
      </c>
      <c r="F228" s="21" t="s">
        <v>159</v>
      </c>
      <c r="G228" s="20">
        <v>6896</v>
      </c>
      <c r="H228" s="17">
        <f t="shared" si="14"/>
        <v>7240.8</v>
      </c>
      <c r="I228" s="17">
        <f t="shared" si="16"/>
        <v>7602.84</v>
      </c>
      <c r="J228" s="112">
        <f t="shared" si="15"/>
        <v>8211.0672000000013</v>
      </c>
      <c r="K228" s="112">
        <f t="shared" si="17"/>
        <v>9114.2845920000018</v>
      </c>
      <c r="L228" s="17">
        <f t="shared" si="13"/>
        <v>5432.1136168320008</v>
      </c>
      <c r="M228" t="s">
        <v>4001</v>
      </c>
    </row>
    <row r="229" spans="1:13" x14ac:dyDescent="0.25">
      <c r="B229" s="14" t="s">
        <v>460</v>
      </c>
      <c r="C229" s="15" t="s">
        <v>487</v>
      </c>
      <c r="D229" s="21" t="s">
        <v>123</v>
      </c>
      <c r="E229" s="16" t="s">
        <v>383</v>
      </c>
      <c r="F229" s="21" t="s">
        <v>159</v>
      </c>
      <c r="G229" s="20">
        <v>7039</v>
      </c>
      <c r="H229" s="17">
        <f t="shared" si="14"/>
        <v>7390.9500000000007</v>
      </c>
      <c r="I229" s="17">
        <f t="shared" si="16"/>
        <v>7760.4975000000013</v>
      </c>
      <c r="J229" s="112">
        <f t="shared" si="15"/>
        <v>8381.3373000000029</v>
      </c>
      <c r="K229" s="112">
        <f t="shared" si="17"/>
        <v>9303.2844030000033</v>
      </c>
      <c r="L229" s="17">
        <f t="shared" si="13"/>
        <v>5544.7575041880018</v>
      </c>
      <c r="M229" t="s">
        <v>4001</v>
      </c>
    </row>
    <row r="230" spans="1:13" x14ac:dyDescent="0.25">
      <c r="B230" s="14" t="s">
        <v>461</v>
      </c>
      <c r="C230" s="15" t="s">
        <v>487</v>
      </c>
      <c r="D230" s="21" t="s">
        <v>138</v>
      </c>
      <c r="E230" s="16" t="s">
        <v>384</v>
      </c>
      <c r="F230" s="21" t="s">
        <v>160</v>
      </c>
      <c r="G230" s="20">
        <v>7896</v>
      </c>
      <c r="H230" s="17">
        <f t="shared" si="14"/>
        <v>8290.8000000000011</v>
      </c>
      <c r="I230" s="17">
        <f t="shared" si="16"/>
        <v>8705.340000000002</v>
      </c>
      <c r="J230" s="112">
        <f t="shared" si="15"/>
        <v>9401.767200000002</v>
      </c>
      <c r="K230" s="112">
        <f t="shared" si="17"/>
        <v>10435.961592000003</v>
      </c>
      <c r="L230" s="17">
        <f t="shared" si="13"/>
        <v>6219.8331088320019</v>
      </c>
      <c r="M230" t="s">
        <v>4001</v>
      </c>
    </row>
    <row r="231" spans="1:13" x14ac:dyDescent="0.25">
      <c r="B231" s="14" t="s">
        <v>462</v>
      </c>
      <c r="C231" s="15" t="s">
        <v>487</v>
      </c>
      <c r="D231" s="21" t="s">
        <v>139</v>
      </c>
      <c r="E231" s="16" t="s">
        <v>385</v>
      </c>
      <c r="F231" s="21" t="s">
        <v>160</v>
      </c>
      <c r="G231" s="20">
        <v>7985</v>
      </c>
      <c r="H231" s="17">
        <f t="shared" si="14"/>
        <v>8384.25</v>
      </c>
      <c r="I231" s="17">
        <f t="shared" si="16"/>
        <v>8803.4624999999996</v>
      </c>
      <c r="J231" s="112">
        <f t="shared" si="15"/>
        <v>9507.7394999999997</v>
      </c>
      <c r="K231" s="112">
        <f t="shared" si="17"/>
        <v>10553.590845000001</v>
      </c>
      <c r="L231" s="17">
        <f t="shared" si="13"/>
        <v>6289.9401436200005</v>
      </c>
      <c r="M231" t="s">
        <v>4001</v>
      </c>
    </row>
    <row r="232" spans="1:13" x14ac:dyDescent="0.25">
      <c r="B232" s="14" t="s">
        <v>463</v>
      </c>
      <c r="C232" s="15" t="s">
        <v>487</v>
      </c>
      <c r="D232" s="21" t="s">
        <v>140</v>
      </c>
      <c r="E232" s="16" t="s">
        <v>386</v>
      </c>
      <c r="F232" s="21" t="s">
        <v>160</v>
      </c>
      <c r="G232" s="20">
        <v>7991</v>
      </c>
      <c r="H232" s="17">
        <f t="shared" si="14"/>
        <v>8390.5500000000011</v>
      </c>
      <c r="I232" s="17">
        <f t="shared" si="16"/>
        <v>8810.0775000000012</v>
      </c>
      <c r="J232" s="112">
        <f t="shared" si="15"/>
        <v>9514.8837000000021</v>
      </c>
      <c r="K232" s="112">
        <f t="shared" si="17"/>
        <v>10561.520907000004</v>
      </c>
      <c r="L232" s="17">
        <f t="shared" si="13"/>
        <v>6294.6664605720016</v>
      </c>
      <c r="M232" t="s">
        <v>4001</v>
      </c>
    </row>
    <row r="233" spans="1:13" x14ac:dyDescent="0.25">
      <c r="B233" s="14" t="s">
        <v>464</v>
      </c>
      <c r="C233" s="15" t="s">
        <v>487</v>
      </c>
      <c r="D233" s="21" t="s">
        <v>141</v>
      </c>
      <c r="E233" s="16" t="s">
        <v>387</v>
      </c>
      <c r="F233" s="21" t="s">
        <v>160</v>
      </c>
      <c r="G233" s="20">
        <v>8210</v>
      </c>
      <c r="H233" s="17">
        <f t="shared" si="14"/>
        <v>8620.5</v>
      </c>
      <c r="I233" s="17">
        <f t="shared" si="16"/>
        <v>9051.5249999999996</v>
      </c>
      <c r="J233" s="112">
        <f t="shared" si="15"/>
        <v>9775.6470000000008</v>
      </c>
      <c r="K233" s="112">
        <f t="shared" si="17"/>
        <v>10850.968170000002</v>
      </c>
      <c r="L233" s="17">
        <f t="shared" si="13"/>
        <v>6467.1770293200007</v>
      </c>
      <c r="M233" t="s">
        <v>4001</v>
      </c>
    </row>
    <row r="234" spans="1:13" x14ac:dyDescent="0.25">
      <c r="B234" s="14" t="s">
        <v>465</v>
      </c>
      <c r="C234" s="15" t="s">
        <v>487</v>
      </c>
      <c r="D234" s="21" t="s">
        <v>124</v>
      </c>
      <c r="E234" s="16" t="s">
        <v>388</v>
      </c>
      <c r="F234" s="21" t="s">
        <v>161</v>
      </c>
      <c r="G234" s="20">
        <v>4531</v>
      </c>
      <c r="H234" s="17">
        <f t="shared" si="14"/>
        <v>4757.55</v>
      </c>
      <c r="I234" s="17">
        <f t="shared" si="16"/>
        <v>4995.4275000000007</v>
      </c>
      <c r="J234" s="112">
        <f t="shared" si="15"/>
        <v>5395.0617000000011</v>
      </c>
      <c r="K234" s="112">
        <f t="shared" si="17"/>
        <v>5988.5184870000021</v>
      </c>
      <c r="L234" s="17">
        <f t="shared" si="13"/>
        <v>3569.1570182520013</v>
      </c>
      <c r="M234" t="s">
        <v>4001</v>
      </c>
    </row>
    <row r="235" spans="1:13" x14ac:dyDescent="0.25">
      <c r="B235" s="14" t="s">
        <v>466</v>
      </c>
      <c r="C235" s="15" t="s">
        <v>487</v>
      </c>
      <c r="D235" s="21" t="s">
        <v>125</v>
      </c>
      <c r="E235" s="16" t="s">
        <v>389</v>
      </c>
      <c r="F235" s="21" t="s">
        <v>161</v>
      </c>
      <c r="G235" s="20">
        <v>4732</v>
      </c>
      <c r="H235" s="17">
        <f t="shared" si="14"/>
        <v>4968.6000000000004</v>
      </c>
      <c r="I235" s="17">
        <f t="shared" si="16"/>
        <v>5217.0300000000007</v>
      </c>
      <c r="J235" s="112">
        <f t="shared" si="15"/>
        <v>5634.3924000000006</v>
      </c>
      <c r="K235" s="112">
        <f t="shared" si="17"/>
        <v>6254.175564000001</v>
      </c>
      <c r="L235" s="17">
        <f t="shared" si="13"/>
        <v>3727.4886361440003</v>
      </c>
      <c r="M235" t="s">
        <v>4001</v>
      </c>
    </row>
    <row r="236" spans="1:13" x14ac:dyDescent="0.25">
      <c r="B236" s="14" t="s">
        <v>467</v>
      </c>
      <c r="C236" s="15" t="s">
        <v>487</v>
      </c>
      <c r="D236" s="21" t="s">
        <v>126</v>
      </c>
      <c r="E236" s="16" t="s">
        <v>390</v>
      </c>
      <c r="F236" s="21" t="s">
        <v>161</v>
      </c>
      <c r="G236" s="20">
        <v>4937</v>
      </c>
      <c r="H236" s="17">
        <f t="shared" si="14"/>
        <v>5183.8500000000004</v>
      </c>
      <c r="I236" s="17">
        <f t="shared" si="16"/>
        <v>5443.0425000000005</v>
      </c>
      <c r="J236" s="112">
        <f t="shared" si="15"/>
        <v>5878.4859000000006</v>
      </c>
      <c r="K236" s="112">
        <f t="shared" si="17"/>
        <v>6525.1193490000014</v>
      </c>
      <c r="L236" s="17">
        <f t="shared" si="13"/>
        <v>3888.9711320040005</v>
      </c>
      <c r="M236" t="s">
        <v>4001</v>
      </c>
    </row>
    <row r="237" spans="1:13" x14ac:dyDescent="0.25">
      <c r="B237" s="14" t="s">
        <v>468</v>
      </c>
      <c r="C237" s="15" t="s">
        <v>487</v>
      </c>
      <c r="D237" s="21" t="s">
        <v>127</v>
      </c>
      <c r="E237" s="16" t="s">
        <v>391</v>
      </c>
      <c r="F237" s="21" t="s">
        <v>161</v>
      </c>
      <c r="G237" s="20">
        <v>5130</v>
      </c>
      <c r="H237" s="17">
        <f t="shared" si="14"/>
        <v>5386.5</v>
      </c>
      <c r="I237" s="17">
        <f t="shared" si="16"/>
        <v>5655.8249999999998</v>
      </c>
      <c r="J237" s="112">
        <f t="shared" si="15"/>
        <v>6108.2910000000002</v>
      </c>
      <c r="K237" s="112">
        <f t="shared" si="17"/>
        <v>6780.2030100000011</v>
      </c>
      <c r="L237" s="17">
        <f t="shared" si="13"/>
        <v>4041.0009939600004</v>
      </c>
      <c r="M237" t="s">
        <v>4001</v>
      </c>
    </row>
    <row r="238" spans="1:13" x14ac:dyDescent="0.25">
      <c r="B238" s="14" t="s">
        <v>469</v>
      </c>
      <c r="C238" s="15" t="s">
        <v>487</v>
      </c>
      <c r="D238" s="21" t="s">
        <v>128</v>
      </c>
      <c r="E238" s="16" t="s">
        <v>392</v>
      </c>
      <c r="F238" s="21" t="s">
        <v>162</v>
      </c>
      <c r="G238" s="20">
        <v>6231</v>
      </c>
      <c r="H238" s="17">
        <f t="shared" si="14"/>
        <v>6542.55</v>
      </c>
      <c r="I238" s="17">
        <f t="shared" si="16"/>
        <v>6869.6775000000007</v>
      </c>
      <c r="J238" s="112">
        <f t="shared" si="15"/>
        <v>7419.2517000000016</v>
      </c>
      <c r="K238" s="112">
        <f t="shared" si="17"/>
        <v>8235.3693870000025</v>
      </c>
      <c r="L238" s="17">
        <f t="shared" si="13"/>
        <v>4908.2801546520013</v>
      </c>
      <c r="M238" t="s">
        <v>4001</v>
      </c>
    </row>
    <row r="239" spans="1:13" x14ac:dyDescent="0.25">
      <c r="B239" s="14" t="s">
        <v>470</v>
      </c>
      <c r="C239" s="15" t="s">
        <v>487</v>
      </c>
      <c r="D239" s="21" t="s">
        <v>129</v>
      </c>
      <c r="E239" s="16" t="s">
        <v>393</v>
      </c>
      <c r="F239" s="21" t="s">
        <v>162</v>
      </c>
      <c r="G239" s="20">
        <v>7041</v>
      </c>
      <c r="H239" s="17">
        <f t="shared" si="14"/>
        <v>7393.05</v>
      </c>
      <c r="I239" s="17">
        <f t="shared" si="16"/>
        <v>7762.7025000000003</v>
      </c>
      <c r="J239" s="112">
        <f t="shared" si="15"/>
        <v>8383.7187000000013</v>
      </c>
      <c r="K239" s="112">
        <f t="shared" si="17"/>
        <v>9305.9277570000031</v>
      </c>
      <c r="L239" s="17">
        <f t="shared" si="13"/>
        <v>5546.3329431720013</v>
      </c>
      <c r="M239" t="s">
        <v>4001</v>
      </c>
    </row>
    <row r="240" spans="1:13" x14ac:dyDescent="0.25">
      <c r="B240" s="14" t="s">
        <v>471</v>
      </c>
      <c r="C240" s="15" t="s">
        <v>487</v>
      </c>
      <c r="D240" s="21" t="s">
        <v>130</v>
      </c>
      <c r="E240" s="16" t="s">
        <v>394</v>
      </c>
      <c r="F240" s="21" t="s">
        <v>162</v>
      </c>
      <c r="G240" s="20">
        <v>7188</v>
      </c>
      <c r="H240" s="17">
        <f t="shared" si="14"/>
        <v>7547.4000000000005</v>
      </c>
      <c r="I240" s="17">
        <f t="shared" si="16"/>
        <v>7924.7700000000013</v>
      </c>
      <c r="J240" s="112">
        <f t="shared" si="15"/>
        <v>8558.7516000000014</v>
      </c>
      <c r="K240" s="112">
        <f t="shared" si="17"/>
        <v>9500.2142760000024</v>
      </c>
      <c r="L240" s="17">
        <f t="shared" si="13"/>
        <v>5662.1277084960011</v>
      </c>
      <c r="M240" t="s">
        <v>4001</v>
      </c>
    </row>
    <row r="241" spans="1:13" x14ac:dyDescent="0.25">
      <c r="A241" s="59" t="s">
        <v>3195</v>
      </c>
      <c r="B241" s="14" t="s">
        <v>472</v>
      </c>
      <c r="C241" s="15" t="s">
        <v>487</v>
      </c>
      <c r="D241" s="21" t="s">
        <v>142</v>
      </c>
      <c r="E241" s="16" t="s">
        <v>395</v>
      </c>
      <c r="F241" s="21" t="s">
        <v>163</v>
      </c>
      <c r="G241" s="20">
        <v>6969</v>
      </c>
      <c r="H241" s="17">
        <f t="shared" si="14"/>
        <v>7317.4500000000007</v>
      </c>
      <c r="I241" s="17">
        <f t="shared" si="16"/>
        <v>7683.3225000000011</v>
      </c>
      <c r="J241" s="112">
        <f t="shared" si="15"/>
        <v>8297.9883000000009</v>
      </c>
      <c r="K241" s="112">
        <f t="shared" si="17"/>
        <v>9210.7670130000024</v>
      </c>
      <c r="L241" s="17">
        <f t="shared" si="13"/>
        <v>5489.6171397480011</v>
      </c>
      <c r="M241" t="s">
        <v>4001</v>
      </c>
    </row>
    <row r="242" spans="1:13" x14ac:dyDescent="0.25">
      <c r="A242" s="59"/>
      <c r="B242" s="14" t="s">
        <v>473</v>
      </c>
      <c r="C242" s="15" t="s">
        <v>487</v>
      </c>
      <c r="D242" s="21" t="s">
        <v>143</v>
      </c>
      <c r="E242" s="16" t="s">
        <v>396</v>
      </c>
      <c r="F242" s="21" t="s">
        <v>163</v>
      </c>
      <c r="G242" s="20">
        <v>8162</v>
      </c>
      <c r="H242" s="17">
        <f t="shared" si="14"/>
        <v>8570.1</v>
      </c>
      <c r="I242" s="17">
        <f t="shared" si="16"/>
        <v>8998.6050000000014</v>
      </c>
      <c r="J242" s="112">
        <f t="shared" si="15"/>
        <v>9718.493400000003</v>
      </c>
      <c r="K242" s="112">
        <f t="shared" si="17"/>
        <v>10787.527674000004</v>
      </c>
      <c r="L242" s="17">
        <f t="shared" si="13"/>
        <v>6429.3664937040021</v>
      </c>
      <c r="M242" t="s">
        <v>4001</v>
      </c>
    </row>
    <row r="243" spans="1:13" x14ac:dyDescent="0.25">
      <c r="B243" s="14" t="s">
        <v>474</v>
      </c>
      <c r="C243" s="15" t="s">
        <v>487</v>
      </c>
      <c r="D243" s="21" t="s">
        <v>144</v>
      </c>
      <c r="E243" s="16" t="s">
        <v>397</v>
      </c>
      <c r="F243" s="21" t="s">
        <v>163</v>
      </c>
      <c r="G243" s="20">
        <v>8173</v>
      </c>
      <c r="H243" s="17">
        <f t="shared" si="14"/>
        <v>8581.65</v>
      </c>
      <c r="I243" s="17">
        <f t="shared" si="16"/>
        <v>9010.7325000000001</v>
      </c>
      <c r="J243" s="112">
        <f t="shared" si="15"/>
        <v>9731.5911000000015</v>
      </c>
      <c r="K243" s="112">
        <f t="shared" si="17"/>
        <v>10802.066121000003</v>
      </c>
      <c r="L243" s="17">
        <f t="shared" si="13"/>
        <v>6438.0314081160022</v>
      </c>
      <c r="M243" t="s">
        <v>4001</v>
      </c>
    </row>
    <row r="244" spans="1:13" x14ac:dyDescent="0.25">
      <c r="B244" s="14" t="s">
        <v>475</v>
      </c>
      <c r="C244" s="15" t="s">
        <v>487</v>
      </c>
      <c r="D244" s="21" t="s">
        <v>145</v>
      </c>
      <c r="E244" s="16" t="s">
        <v>398</v>
      </c>
      <c r="F244" s="21" t="s">
        <v>163</v>
      </c>
      <c r="G244" s="20">
        <v>8395</v>
      </c>
      <c r="H244" s="17">
        <f t="shared" si="14"/>
        <v>8814.75</v>
      </c>
      <c r="I244" s="17">
        <f t="shared" si="16"/>
        <v>9255.4875000000011</v>
      </c>
      <c r="J244" s="112">
        <f t="shared" si="15"/>
        <v>9995.9265000000014</v>
      </c>
      <c r="K244" s="112">
        <f t="shared" si="17"/>
        <v>11095.478415000003</v>
      </c>
      <c r="L244" s="17">
        <f t="shared" si="13"/>
        <v>6612.9051353400018</v>
      </c>
      <c r="M244" t="s">
        <v>4001</v>
      </c>
    </row>
    <row r="245" spans="1:13" x14ac:dyDescent="0.25">
      <c r="B245" s="14" t="s">
        <v>476</v>
      </c>
      <c r="C245" s="15" t="s">
        <v>487</v>
      </c>
      <c r="D245" s="21" t="s">
        <v>131</v>
      </c>
      <c r="E245" s="16" t="s">
        <v>399</v>
      </c>
      <c r="F245" s="15" t="s">
        <v>161</v>
      </c>
      <c r="G245" s="20">
        <v>4543</v>
      </c>
      <c r="H245" s="17">
        <f t="shared" si="14"/>
        <v>4770.1500000000005</v>
      </c>
      <c r="I245" s="17">
        <f t="shared" si="16"/>
        <v>5008.6575000000012</v>
      </c>
      <c r="J245" s="112">
        <f t="shared" si="15"/>
        <v>5409.3501000000015</v>
      </c>
      <c r="K245" s="112">
        <f t="shared" si="17"/>
        <v>6004.3786110000019</v>
      </c>
      <c r="L245" s="17">
        <f t="shared" si="13"/>
        <v>3578.6096521560012</v>
      </c>
      <c r="M245" t="s">
        <v>4001</v>
      </c>
    </row>
    <row r="246" spans="1:13" x14ac:dyDescent="0.25">
      <c r="B246" s="14" t="s">
        <v>477</v>
      </c>
      <c r="C246" s="15" t="s">
        <v>487</v>
      </c>
      <c r="D246" s="21" t="s">
        <v>125</v>
      </c>
      <c r="E246" s="16" t="s">
        <v>400</v>
      </c>
      <c r="F246" s="15" t="s">
        <v>161</v>
      </c>
      <c r="G246" s="20">
        <v>4898</v>
      </c>
      <c r="H246" s="17">
        <f t="shared" si="14"/>
        <v>5142.9000000000005</v>
      </c>
      <c r="I246" s="17">
        <f t="shared" si="16"/>
        <v>5400.045000000001</v>
      </c>
      <c r="J246" s="112">
        <f t="shared" si="15"/>
        <v>5832.0486000000019</v>
      </c>
      <c r="K246" s="112">
        <f t="shared" si="17"/>
        <v>6473.5739460000023</v>
      </c>
      <c r="L246" s="17">
        <f t="shared" si="13"/>
        <v>3858.2500718160013</v>
      </c>
      <c r="M246" t="s">
        <v>4001</v>
      </c>
    </row>
    <row r="247" spans="1:13" x14ac:dyDescent="0.25">
      <c r="B247" s="14" t="s">
        <v>478</v>
      </c>
      <c r="C247" s="15" t="s">
        <v>487</v>
      </c>
      <c r="D247" s="21" t="s">
        <v>133</v>
      </c>
      <c r="E247" s="16" t="s">
        <v>401</v>
      </c>
      <c r="F247" s="15" t="s">
        <v>161</v>
      </c>
      <c r="G247" s="20">
        <v>5004</v>
      </c>
      <c r="H247" s="17">
        <f t="shared" si="14"/>
        <v>5254.2</v>
      </c>
      <c r="I247" s="17">
        <f t="shared" si="16"/>
        <v>5516.91</v>
      </c>
      <c r="J247" s="112">
        <f t="shared" si="15"/>
        <v>5958.2628000000004</v>
      </c>
      <c r="K247" s="112">
        <f t="shared" si="17"/>
        <v>6613.6717080000008</v>
      </c>
      <c r="L247" s="17">
        <f t="shared" si="13"/>
        <v>3941.7483379680002</v>
      </c>
      <c r="M247" t="s">
        <v>4001</v>
      </c>
    </row>
    <row r="248" spans="1:13" x14ac:dyDescent="0.25">
      <c r="B248" s="14" t="s">
        <v>479</v>
      </c>
      <c r="C248" s="15" t="s">
        <v>487</v>
      </c>
      <c r="D248" s="21" t="s">
        <v>134</v>
      </c>
      <c r="E248" s="16" t="s">
        <v>402</v>
      </c>
      <c r="F248" s="15" t="s">
        <v>161</v>
      </c>
      <c r="G248" s="20">
        <v>5207</v>
      </c>
      <c r="H248" s="17">
        <f t="shared" si="14"/>
        <v>5467.35</v>
      </c>
      <c r="I248" s="17">
        <f t="shared" si="16"/>
        <v>5740.7175000000007</v>
      </c>
      <c r="J248" s="112">
        <f t="shared" si="15"/>
        <v>6199.9749000000011</v>
      </c>
      <c r="K248" s="112">
        <f t="shared" si="17"/>
        <v>6881.9721390000022</v>
      </c>
      <c r="L248" s="17">
        <f t="shared" si="13"/>
        <v>4101.6553948440014</v>
      </c>
      <c r="M248" t="s">
        <v>4001</v>
      </c>
    </row>
    <row r="249" spans="1:13" x14ac:dyDescent="0.25">
      <c r="B249" s="14" t="s">
        <v>480</v>
      </c>
      <c r="C249" s="15" t="s">
        <v>487</v>
      </c>
      <c r="D249" s="21" t="s">
        <v>135</v>
      </c>
      <c r="E249" s="16" t="s">
        <v>403</v>
      </c>
      <c r="F249" s="15" t="s">
        <v>162</v>
      </c>
      <c r="G249" s="20">
        <v>6311</v>
      </c>
      <c r="H249" s="17">
        <f t="shared" si="14"/>
        <v>6626.55</v>
      </c>
      <c r="I249" s="17">
        <f t="shared" si="16"/>
        <v>6957.8775000000005</v>
      </c>
      <c r="J249" s="112">
        <f t="shared" si="15"/>
        <v>7514.507700000001</v>
      </c>
      <c r="K249" s="112">
        <f t="shared" si="17"/>
        <v>8341.1035470000024</v>
      </c>
      <c r="L249" s="17">
        <f t="shared" si="13"/>
        <v>4971.2977140120011</v>
      </c>
      <c r="M249" t="s">
        <v>4001</v>
      </c>
    </row>
    <row r="250" spans="1:13" x14ac:dyDescent="0.25">
      <c r="B250" s="14" t="s">
        <v>481</v>
      </c>
      <c r="C250" s="15" t="s">
        <v>487</v>
      </c>
      <c r="D250" s="21" t="s">
        <v>136</v>
      </c>
      <c r="E250" s="16" t="s">
        <v>404</v>
      </c>
      <c r="F250" s="15" t="s">
        <v>162</v>
      </c>
      <c r="G250" s="20">
        <v>7145</v>
      </c>
      <c r="H250" s="17">
        <f t="shared" si="14"/>
        <v>7502.25</v>
      </c>
      <c r="I250" s="17">
        <f t="shared" si="16"/>
        <v>7877.3625000000002</v>
      </c>
      <c r="J250" s="112">
        <f t="shared" si="15"/>
        <v>8507.5515000000014</v>
      </c>
      <c r="K250" s="112">
        <f t="shared" si="17"/>
        <v>9443.3821650000027</v>
      </c>
      <c r="L250" s="17">
        <f t="shared" si="13"/>
        <v>5628.2557703400016</v>
      </c>
      <c r="M250" t="s">
        <v>4001</v>
      </c>
    </row>
    <row r="251" spans="1:13" x14ac:dyDescent="0.25">
      <c r="B251" s="14" t="s">
        <v>482</v>
      </c>
      <c r="C251" s="15" t="s">
        <v>487</v>
      </c>
      <c r="D251" s="21" t="s">
        <v>137</v>
      </c>
      <c r="E251" s="16" t="s">
        <v>405</v>
      </c>
      <c r="F251" s="15" t="s">
        <v>162</v>
      </c>
      <c r="G251" s="20">
        <v>7296</v>
      </c>
      <c r="H251" s="17">
        <f t="shared" si="14"/>
        <v>7660.8</v>
      </c>
      <c r="I251" s="17">
        <f t="shared" si="16"/>
        <v>8043.84</v>
      </c>
      <c r="J251" s="112">
        <f t="shared" si="15"/>
        <v>8687.3472000000002</v>
      </c>
      <c r="K251" s="112">
        <f t="shared" si="17"/>
        <v>9642.9553920000017</v>
      </c>
      <c r="L251" s="17">
        <f t="shared" si="13"/>
        <v>5747.2014136320004</v>
      </c>
      <c r="M251" t="s">
        <v>4001</v>
      </c>
    </row>
    <row r="252" spans="1:13" x14ac:dyDescent="0.25">
      <c r="B252" s="14" t="s">
        <v>483</v>
      </c>
      <c r="C252" s="15" t="s">
        <v>487</v>
      </c>
      <c r="D252" s="21" t="s">
        <v>146</v>
      </c>
      <c r="E252" s="16" t="s">
        <v>406</v>
      </c>
      <c r="F252" s="15" t="s">
        <v>163</v>
      </c>
      <c r="G252" s="20">
        <v>7048</v>
      </c>
      <c r="H252" s="17">
        <f t="shared" si="14"/>
        <v>7400.4000000000005</v>
      </c>
      <c r="I252" s="17">
        <f t="shared" si="16"/>
        <v>7770.420000000001</v>
      </c>
      <c r="J252" s="112">
        <f t="shared" si="15"/>
        <v>8392.0536000000011</v>
      </c>
      <c r="K252" s="112">
        <f t="shared" si="17"/>
        <v>9315.1794960000025</v>
      </c>
      <c r="L252" s="17">
        <f t="shared" si="13"/>
        <v>5551.8469796160016</v>
      </c>
      <c r="M252" t="s">
        <v>4001</v>
      </c>
    </row>
    <row r="253" spans="1:13" x14ac:dyDescent="0.25">
      <c r="B253" s="14" t="s">
        <v>484</v>
      </c>
      <c r="C253" s="15" t="s">
        <v>487</v>
      </c>
      <c r="D253" s="21" t="s">
        <v>156</v>
      </c>
      <c r="E253" s="16" t="s">
        <v>407</v>
      </c>
      <c r="F253" s="15" t="s">
        <v>163</v>
      </c>
      <c r="G253" s="20">
        <v>8278</v>
      </c>
      <c r="H253" s="17">
        <f t="shared" si="14"/>
        <v>8691.9</v>
      </c>
      <c r="I253" s="17">
        <f t="shared" si="16"/>
        <v>9126.4950000000008</v>
      </c>
      <c r="J253" s="112">
        <f t="shared" si="15"/>
        <v>9856.6146000000008</v>
      </c>
      <c r="K253" s="112">
        <f t="shared" si="17"/>
        <v>10940.842206000001</v>
      </c>
      <c r="L253" s="17">
        <f t="shared" si="13"/>
        <v>6520.7419547760001</v>
      </c>
      <c r="M253" t="s">
        <v>4001</v>
      </c>
    </row>
    <row r="254" spans="1:13" x14ac:dyDescent="0.25">
      <c r="B254" s="14" t="s">
        <v>485</v>
      </c>
      <c r="C254" s="15" t="s">
        <v>487</v>
      </c>
      <c r="D254" s="21" t="s">
        <v>148</v>
      </c>
      <c r="E254" s="16" t="s">
        <v>408</v>
      </c>
      <c r="F254" s="15" t="s">
        <v>163</v>
      </c>
      <c r="G254" s="20">
        <v>8290</v>
      </c>
      <c r="H254" s="17">
        <f t="shared" si="14"/>
        <v>8704.5</v>
      </c>
      <c r="I254" s="17">
        <f t="shared" si="16"/>
        <v>9139.7250000000004</v>
      </c>
      <c r="J254" s="112">
        <f t="shared" si="15"/>
        <v>9870.9030000000002</v>
      </c>
      <c r="K254" s="112">
        <f t="shared" si="17"/>
        <v>10956.702330000002</v>
      </c>
      <c r="L254" s="17">
        <f t="shared" si="13"/>
        <v>6530.1945886800013</v>
      </c>
      <c r="M254" t="s">
        <v>4001</v>
      </c>
    </row>
    <row r="255" spans="1:13" x14ac:dyDescent="0.25">
      <c r="B255" s="14" t="s">
        <v>486</v>
      </c>
      <c r="C255" s="15" t="s">
        <v>487</v>
      </c>
      <c r="D255" s="21" t="s">
        <v>149</v>
      </c>
      <c r="E255" s="16" t="s">
        <v>409</v>
      </c>
      <c r="F255" s="15" t="s">
        <v>163</v>
      </c>
      <c r="G255" s="20">
        <v>8395</v>
      </c>
      <c r="H255" s="17">
        <f t="shared" si="14"/>
        <v>8814.75</v>
      </c>
      <c r="I255" s="17">
        <f t="shared" si="16"/>
        <v>9255.4875000000011</v>
      </c>
      <c r="J255" s="112">
        <f t="shared" si="15"/>
        <v>9995.9265000000014</v>
      </c>
      <c r="K255" s="112">
        <f t="shared" si="17"/>
        <v>11095.478415000003</v>
      </c>
      <c r="L255" s="17">
        <f t="shared" si="13"/>
        <v>6612.9051353400018</v>
      </c>
      <c r="M255" t="s">
        <v>4001</v>
      </c>
    </row>
    <row r="256" spans="1:13" s="62" customFormat="1" x14ac:dyDescent="0.25">
      <c r="A256" s="62" t="s">
        <v>2911</v>
      </c>
      <c r="B256" s="67" t="s">
        <v>2903</v>
      </c>
      <c r="C256" s="68"/>
      <c r="D256" s="68"/>
      <c r="E256" s="69"/>
      <c r="F256" s="68"/>
      <c r="G256" s="70"/>
      <c r="H256" s="17"/>
      <c r="I256" s="17">
        <f t="shared" si="16"/>
        <v>0</v>
      </c>
      <c r="J256" s="113"/>
      <c r="K256" s="113"/>
      <c r="L256" s="70"/>
    </row>
    <row r="257" spans="1:13" x14ac:dyDescent="0.25">
      <c r="A257" s="4"/>
      <c r="B257" s="6" t="s">
        <v>546</v>
      </c>
      <c r="C257" s="15" t="s">
        <v>263</v>
      </c>
      <c r="D257" s="7" t="s">
        <v>145</v>
      </c>
      <c r="E257" s="2" t="s">
        <v>65</v>
      </c>
      <c r="F257" s="7" t="s">
        <v>702</v>
      </c>
      <c r="G257" s="11">
        <f>7786-671-517+563</f>
        <v>7161</v>
      </c>
      <c r="H257" s="17">
        <f t="shared" si="14"/>
        <v>7519.05</v>
      </c>
      <c r="I257" s="17">
        <f t="shared" si="16"/>
        <v>7895.0025000000005</v>
      </c>
      <c r="J257" s="112">
        <f t="shared" si="15"/>
        <v>8526.6027000000013</v>
      </c>
      <c r="K257" s="112">
        <v>8526.6027000000013</v>
      </c>
      <c r="L257" s="17">
        <f t="shared" ref="L257:L320" si="18">K257*0.596</f>
        <v>5081.8552092000009</v>
      </c>
      <c r="M257" t="s">
        <v>3246</v>
      </c>
    </row>
    <row r="258" spans="1:13" x14ac:dyDescent="0.25">
      <c r="A258" s="30"/>
      <c r="B258" s="6" t="s">
        <v>547</v>
      </c>
      <c r="C258" s="15" t="s">
        <v>263</v>
      </c>
      <c r="D258" s="7" t="s">
        <v>650</v>
      </c>
      <c r="E258" s="2" t="s">
        <v>496</v>
      </c>
      <c r="F258" s="7" t="s">
        <v>702</v>
      </c>
      <c r="G258" s="11">
        <f>7639-517+563</f>
        <v>7685</v>
      </c>
      <c r="H258" s="17">
        <f t="shared" ref="H258:H321" si="19">G258*1.05</f>
        <v>8069.25</v>
      </c>
      <c r="I258" s="17">
        <f t="shared" ref="I258:I321" si="20">H258*1.05</f>
        <v>8472.7124999999996</v>
      </c>
      <c r="J258" s="112">
        <f t="shared" ref="J258:J321" si="21">I258*1.08</f>
        <v>9150.5295000000006</v>
      </c>
      <c r="K258" s="112">
        <v>9150.5295000000006</v>
      </c>
      <c r="L258" s="17">
        <f t="shared" si="18"/>
        <v>5453.7155819999998</v>
      </c>
      <c r="M258" t="s">
        <v>3246</v>
      </c>
    </row>
    <row r="259" spans="1:13" x14ac:dyDescent="0.25">
      <c r="B259" s="6" t="s">
        <v>548</v>
      </c>
      <c r="C259" s="15" t="s">
        <v>263</v>
      </c>
      <c r="D259" s="7" t="s">
        <v>651</v>
      </c>
      <c r="E259" s="2" t="s">
        <v>497</v>
      </c>
      <c r="F259" s="7" t="s">
        <v>701</v>
      </c>
      <c r="G259" s="11">
        <f>7911-517+563</f>
        <v>7957</v>
      </c>
      <c r="H259" s="17">
        <f t="shared" si="19"/>
        <v>8354.85</v>
      </c>
      <c r="I259" s="17">
        <f t="shared" si="20"/>
        <v>8772.5925000000007</v>
      </c>
      <c r="J259" s="112">
        <f t="shared" si="21"/>
        <v>9474.3999000000022</v>
      </c>
      <c r="K259" s="112">
        <v>9474.3999000000022</v>
      </c>
      <c r="L259" s="17">
        <f t="shared" si="18"/>
        <v>5646.742340400001</v>
      </c>
      <c r="M259" t="s">
        <v>3246</v>
      </c>
    </row>
    <row r="260" spans="1:13" x14ac:dyDescent="0.25">
      <c r="B260" s="6" t="s">
        <v>549</v>
      </c>
      <c r="C260" s="15" t="s">
        <v>263</v>
      </c>
      <c r="D260" s="7" t="s">
        <v>652</v>
      </c>
      <c r="E260" s="2" t="s">
        <v>498</v>
      </c>
      <c r="F260" s="7" t="s">
        <v>701</v>
      </c>
      <c r="G260" s="11">
        <f>8111-517+563</f>
        <v>8157</v>
      </c>
      <c r="H260" s="17">
        <f t="shared" si="19"/>
        <v>8564.85</v>
      </c>
      <c r="I260" s="17">
        <f t="shared" si="20"/>
        <v>8993.0925000000007</v>
      </c>
      <c r="J260" s="112">
        <f t="shared" si="21"/>
        <v>9712.5399000000016</v>
      </c>
      <c r="K260" s="112">
        <v>9712.5399000000016</v>
      </c>
      <c r="L260" s="17">
        <f t="shared" si="18"/>
        <v>5788.6737804000004</v>
      </c>
      <c r="M260" t="s">
        <v>3246</v>
      </c>
    </row>
    <row r="261" spans="1:13" x14ac:dyDescent="0.25">
      <c r="B261" s="6" t="s">
        <v>550</v>
      </c>
      <c r="C261" s="15" t="s">
        <v>263</v>
      </c>
      <c r="D261" s="7" t="s">
        <v>653</v>
      </c>
      <c r="E261" s="2" t="s">
        <v>499</v>
      </c>
      <c r="F261" s="7" t="s">
        <v>701</v>
      </c>
      <c r="G261" s="11">
        <f>8312-517+563</f>
        <v>8358</v>
      </c>
      <c r="H261" s="17">
        <f t="shared" si="19"/>
        <v>8775.9</v>
      </c>
      <c r="I261" s="17">
        <f t="shared" si="20"/>
        <v>9214.6949999999997</v>
      </c>
      <c r="J261" s="112">
        <f t="shared" si="21"/>
        <v>9951.8706000000002</v>
      </c>
      <c r="K261" s="112">
        <v>9951.8706000000002</v>
      </c>
      <c r="L261" s="17">
        <f t="shared" si="18"/>
        <v>5931.3148775999998</v>
      </c>
      <c r="M261" t="s">
        <v>3246</v>
      </c>
    </row>
    <row r="262" spans="1:13" x14ac:dyDescent="0.25">
      <c r="B262" s="6" t="s">
        <v>551</v>
      </c>
      <c r="C262" s="15" t="s">
        <v>263</v>
      </c>
      <c r="D262" s="7" t="s">
        <v>654</v>
      </c>
      <c r="E262" s="2" t="s">
        <v>500</v>
      </c>
      <c r="F262" s="7" t="s">
        <v>701</v>
      </c>
      <c r="G262" s="11">
        <f>8513-517+563</f>
        <v>8559</v>
      </c>
      <c r="H262" s="17">
        <f t="shared" si="19"/>
        <v>8986.9500000000007</v>
      </c>
      <c r="I262" s="17">
        <f t="shared" si="20"/>
        <v>9436.2975000000006</v>
      </c>
      <c r="J262" s="112">
        <f t="shared" si="21"/>
        <v>10191.201300000001</v>
      </c>
      <c r="K262" s="112">
        <v>10191.201300000001</v>
      </c>
      <c r="L262" s="17">
        <f t="shared" si="18"/>
        <v>6073.9559748000001</v>
      </c>
      <c r="M262" t="s">
        <v>3246</v>
      </c>
    </row>
    <row r="263" spans="1:13" x14ac:dyDescent="0.25">
      <c r="B263" s="6" t="s">
        <v>552</v>
      </c>
      <c r="C263" s="15" t="s">
        <v>263</v>
      </c>
      <c r="D263" s="7" t="s">
        <v>655</v>
      </c>
      <c r="E263" s="2" t="s">
        <v>501</v>
      </c>
      <c r="F263" s="7" t="s">
        <v>701</v>
      </c>
      <c r="G263" s="11">
        <f>8713-517+563</f>
        <v>8759</v>
      </c>
      <c r="H263" s="17">
        <f t="shared" si="19"/>
        <v>9196.9500000000007</v>
      </c>
      <c r="I263" s="17">
        <f t="shared" si="20"/>
        <v>9656.7975000000006</v>
      </c>
      <c r="J263" s="112">
        <f t="shared" si="21"/>
        <v>10429.341300000002</v>
      </c>
      <c r="K263" s="112">
        <v>10429.341300000002</v>
      </c>
      <c r="L263" s="17">
        <f t="shared" si="18"/>
        <v>6215.8874148000004</v>
      </c>
      <c r="M263" t="s">
        <v>3246</v>
      </c>
    </row>
    <row r="264" spans="1:13" x14ac:dyDescent="0.25">
      <c r="B264" s="6" t="s">
        <v>553</v>
      </c>
      <c r="C264" s="15" t="s">
        <v>263</v>
      </c>
      <c r="D264" s="7" t="s">
        <v>656</v>
      </c>
      <c r="E264" s="2" t="s">
        <v>502</v>
      </c>
      <c r="F264" s="7" t="s">
        <v>701</v>
      </c>
      <c r="G264" s="11">
        <f>8914-517+563</f>
        <v>8960</v>
      </c>
      <c r="H264" s="17">
        <f t="shared" si="19"/>
        <v>9408</v>
      </c>
      <c r="I264" s="17">
        <f t="shared" si="20"/>
        <v>9878.4</v>
      </c>
      <c r="J264" s="112">
        <f t="shared" si="21"/>
        <v>10668.672</v>
      </c>
      <c r="K264" s="112">
        <v>10668.672</v>
      </c>
      <c r="L264" s="17">
        <f t="shared" si="18"/>
        <v>6358.5285119999999</v>
      </c>
      <c r="M264" t="s">
        <v>3246</v>
      </c>
    </row>
    <row r="265" spans="1:13" x14ac:dyDescent="0.25">
      <c r="B265" s="6" t="s">
        <v>554</v>
      </c>
      <c r="C265" s="15" t="s">
        <v>263</v>
      </c>
      <c r="D265" s="7" t="s">
        <v>657</v>
      </c>
      <c r="E265" s="2" t="s">
        <v>503</v>
      </c>
      <c r="F265" s="7" t="s">
        <v>701</v>
      </c>
      <c r="G265" s="11">
        <f>9023-517+563</f>
        <v>9069</v>
      </c>
      <c r="H265" s="17">
        <f t="shared" si="19"/>
        <v>9522.4500000000007</v>
      </c>
      <c r="I265" s="17">
        <f t="shared" si="20"/>
        <v>9998.572500000002</v>
      </c>
      <c r="J265" s="112">
        <f t="shared" si="21"/>
        <v>10798.458300000002</v>
      </c>
      <c r="K265" s="112">
        <v>10798.458300000002</v>
      </c>
      <c r="L265" s="17">
        <f t="shared" si="18"/>
        <v>6435.8811468000013</v>
      </c>
      <c r="M265" t="s">
        <v>3246</v>
      </c>
    </row>
    <row r="266" spans="1:13" x14ac:dyDescent="0.25">
      <c r="B266" s="6" t="s">
        <v>555</v>
      </c>
      <c r="C266" s="15" t="s">
        <v>263</v>
      </c>
      <c r="D266" s="7" t="s">
        <v>658</v>
      </c>
      <c r="E266" s="2" t="s">
        <v>504</v>
      </c>
      <c r="F266" s="7" t="s">
        <v>701</v>
      </c>
      <c r="G266" s="11">
        <f>9315-517+563</f>
        <v>9361</v>
      </c>
      <c r="H266" s="17">
        <f t="shared" si="19"/>
        <v>9829.0500000000011</v>
      </c>
      <c r="I266" s="17">
        <f t="shared" si="20"/>
        <v>10320.502500000002</v>
      </c>
      <c r="J266" s="112">
        <f t="shared" si="21"/>
        <v>11146.142700000004</v>
      </c>
      <c r="K266" s="112">
        <v>11146.142700000004</v>
      </c>
      <c r="L266" s="17">
        <f t="shared" si="18"/>
        <v>6643.1010492000023</v>
      </c>
      <c r="M266" t="s">
        <v>3246</v>
      </c>
    </row>
    <row r="267" spans="1:13" x14ac:dyDescent="0.25">
      <c r="B267" s="6" t="s">
        <v>556</v>
      </c>
      <c r="C267" s="15" t="s">
        <v>263</v>
      </c>
      <c r="D267" s="7" t="s">
        <v>659</v>
      </c>
      <c r="E267" s="2" t="s">
        <v>505</v>
      </c>
      <c r="F267" s="7" t="s">
        <v>701</v>
      </c>
      <c r="G267" s="11">
        <f>9516-517+563</f>
        <v>9562</v>
      </c>
      <c r="H267" s="17">
        <f t="shared" si="19"/>
        <v>10040.1</v>
      </c>
      <c r="I267" s="17">
        <f t="shared" si="20"/>
        <v>10542.105000000001</v>
      </c>
      <c r="J267" s="112">
        <f t="shared" si="21"/>
        <v>11385.473400000003</v>
      </c>
      <c r="K267" s="112">
        <v>11385.473400000003</v>
      </c>
      <c r="L267" s="17">
        <f t="shared" si="18"/>
        <v>6785.7421464000008</v>
      </c>
      <c r="M267" t="s">
        <v>3246</v>
      </c>
    </row>
    <row r="268" spans="1:13" x14ac:dyDescent="0.25">
      <c r="A268" t="s">
        <v>2912</v>
      </c>
      <c r="B268" s="6" t="s">
        <v>557</v>
      </c>
      <c r="C268" s="15" t="s">
        <v>263</v>
      </c>
      <c r="D268" s="7" t="s">
        <v>660</v>
      </c>
      <c r="E268" s="2" t="s">
        <v>506</v>
      </c>
      <c r="F268" s="7" t="s">
        <v>701</v>
      </c>
      <c r="G268" s="11">
        <f>9717-517+563</f>
        <v>9763</v>
      </c>
      <c r="H268" s="17">
        <f t="shared" si="19"/>
        <v>10251.15</v>
      </c>
      <c r="I268" s="17">
        <f t="shared" si="20"/>
        <v>10763.7075</v>
      </c>
      <c r="J268" s="112">
        <f t="shared" si="21"/>
        <v>11624.804100000001</v>
      </c>
      <c r="K268" s="112">
        <v>11624.804100000001</v>
      </c>
      <c r="L268" s="17">
        <f t="shared" si="18"/>
        <v>6928.3832436000002</v>
      </c>
      <c r="M268" t="s">
        <v>3246</v>
      </c>
    </row>
    <row r="269" spans="1:13" x14ac:dyDescent="0.25">
      <c r="B269" s="6" t="s">
        <v>558</v>
      </c>
      <c r="C269" s="15" t="s">
        <v>263</v>
      </c>
      <c r="D269" s="7" t="s">
        <v>661</v>
      </c>
      <c r="E269" s="2" t="s">
        <v>507</v>
      </c>
      <c r="F269" s="7" t="s">
        <v>701</v>
      </c>
      <c r="G269" s="11">
        <f>9918-517+563</f>
        <v>9964</v>
      </c>
      <c r="H269" s="17">
        <f t="shared" si="19"/>
        <v>10462.200000000001</v>
      </c>
      <c r="I269" s="17">
        <f t="shared" si="20"/>
        <v>10985.310000000001</v>
      </c>
      <c r="J269" s="112">
        <f t="shared" si="21"/>
        <v>11864.134800000002</v>
      </c>
      <c r="K269" s="112">
        <v>11864.134800000002</v>
      </c>
      <c r="L269" s="17">
        <f t="shared" si="18"/>
        <v>7071.0243408000006</v>
      </c>
      <c r="M269" t="s">
        <v>3246</v>
      </c>
    </row>
    <row r="270" spans="1:13" x14ac:dyDescent="0.25">
      <c r="B270" s="6" t="s">
        <v>559</v>
      </c>
      <c r="C270" s="15" t="s">
        <v>263</v>
      </c>
      <c r="D270" s="7" t="s">
        <v>149</v>
      </c>
      <c r="E270" s="2" t="s">
        <v>76</v>
      </c>
      <c r="F270" s="7" t="s">
        <v>702</v>
      </c>
      <c r="G270" s="11">
        <f>8026-517+563</f>
        <v>8072</v>
      </c>
      <c r="H270" s="17">
        <f t="shared" si="19"/>
        <v>8475.6</v>
      </c>
      <c r="I270" s="17">
        <f t="shared" si="20"/>
        <v>8899.380000000001</v>
      </c>
      <c r="J270" s="112">
        <f t="shared" si="21"/>
        <v>9611.3304000000026</v>
      </c>
      <c r="K270" s="112">
        <v>9611.3304000000026</v>
      </c>
      <c r="L270" s="17">
        <f t="shared" si="18"/>
        <v>5728.3529184000017</v>
      </c>
      <c r="M270" t="s">
        <v>3246</v>
      </c>
    </row>
    <row r="271" spans="1:13" x14ac:dyDescent="0.25">
      <c r="B271" s="6" t="s">
        <v>560</v>
      </c>
      <c r="C271" s="15" t="s">
        <v>263</v>
      </c>
      <c r="D271" s="7" t="s">
        <v>662</v>
      </c>
      <c r="E271" s="2" t="s">
        <v>508</v>
      </c>
      <c r="F271" s="7" t="s">
        <v>702</v>
      </c>
      <c r="G271" s="11">
        <f>8252-517+563</f>
        <v>8298</v>
      </c>
      <c r="H271" s="17">
        <f t="shared" si="19"/>
        <v>8712.9</v>
      </c>
      <c r="I271" s="17">
        <f t="shared" si="20"/>
        <v>9148.5450000000001</v>
      </c>
      <c r="J271" s="112">
        <f t="shared" si="21"/>
        <v>9880.4286000000011</v>
      </c>
      <c r="K271" s="112">
        <v>9880.4286000000011</v>
      </c>
      <c r="L271" s="17">
        <f t="shared" si="18"/>
        <v>5888.7354456000003</v>
      </c>
      <c r="M271" t="s">
        <v>3246</v>
      </c>
    </row>
    <row r="272" spans="1:13" x14ac:dyDescent="0.25">
      <c r="B272" s="6" t="s">
        <v>561</v>
      </c>
      <c r="C272" s="15" t="s">
        <v>263</v>
      </c>
      <c r="D272" s="7" t="s">
        <v>663</v>
      </c>
      <c r="E272" s="2" t="s">
        <v>509</v>
      </c>
      <c r="F272" s="7" t="s">
        <v>701</v>
      </c>
      <c r="G272" s="11">
        <f>8479-517+563</f>
        <v>8525</v>
      </c>
      <c r="H272" s="17">
        <f t="shared" si="19"/>
        <v>8951.25</v>
      </c>
      <c r="I272" s="17">
        <f t="shared" si="20"/>
        <v>9398.8125</v>
      </c>
      <c r="J272" s="112">
        <f t="shared" si="21"/>
        <v>10150.717500000001</v>
      </c>
      <c r="K272" s="112">
        <v>10150.717500000001</v>
      </c>
      <c r="L272" s="17">
        <f t="shared" si="18"/>
        <v>6049.8276299999998</v>
      </c>
      <c r="M272" t="s">
        <v>3246</v>
      </c>
    </row>
    <row r="273" spans="2:13" x14ac:dyDescent="0.25">
      <c r="B273" s="6" t="s">
        <v>562</v>
      </c>
      <c r="C273" s="15" t="s">
        <v>263</v>
      </c>
      <c r="D273" s="7" t="s">
        <v>664</v>
      </c>
      <c r="E273" s="2" t="s">
        <v>510</v>
      </c>
      <c r="F273" s="7" t="s">
        <v>701</v>
      </c>
      <c r="G273" s="11">
        <f>8706-517+563</f>
        <v>8752</v>
      </c>
      <c r="H273" s="17">
        <f t="shared" si="19"/>
        <v>9189.6</v>
      </c>
      <c r="I273" s="17">
        <f t="shared" si="20"/>
        <v>9649.08</v>
      </c>
      <c r="J273" s="112">
        <f t="shared" si="21"/>
        <v>10421.0064</v>
      </c>
      <c r="K273" s="112">
        <v>10421.0064</v>
      </c>
      <c r="L273" s="17">
        <f t="shared" si="18"/>
        <v>6210.9198144000002</v>
      </c>
      <c r="M273" t="s">
        <v>3246</v>
      </c>
    </row>
    <row r="274" spans="2:13" x14ac:dyDescent="0.25">
      <c r="B274" s="6" t="s">
        <v>563</v>
      </c>
      <c r="C274" s="15" t="s">
        <v>263</v>
      </c>
      <c r="D274" s="7" t="s">
        <v>665</v>
      </c>
      <c r="E274" s="2" t="s">
        <v>511</v>
      </c>
      <c r="F274" s="7" t="s">
        <v>701</v>
      </c>
      <c r="G274" s="11">
        <f>8932-517+563</f>
        <v>8978</v>
      </c>
      <c r="H274" s="17">
        <f t="shared" si="19"/>
        <v>9426.9</v>
      </c>
      <c r="I274" s="17">
        <f t="shared" si="20"/>
        <v>9898.2450000000008</v>
      </c>
      <c r="J274" s="112">
        <f t="shared" si="21"/>
        <v>10690.104600000002</v>
      </c>
      <c r="K274" s="112">
        <v>10690.104600000002</v>
      </c>
      <c r="L274" s="17">
        <f t="shared" si="18"/>
        <v>6371.3023416000015</v>
      </c>
      <c r="M274" t="s">
        <v>3246</v>
      </c>
    </row>
    <row r="275" spans="2:13" x14ac:dyDescent="0.25">
      <c r="B275" s="6" t="s">
        <v>564</v>
      </c>
      <c r="C275" s="15" t="s">
        <v>263</v>
      </c>
      <c r="D275" s="7" t="s">
        <v>666</v>
      </c>
      <c r="E275" s="2" t="s">
        <v>512</v>
      </c>
      <c r="F275" s="7" t="s">
        <v>701</v>
      </c>
      <c r="G275" s="11">
        <f>9159-517+563</f>
        <v>9205</v>
      </c>
      <c r="H275" s="17">
        <f t="shared" si="19"/>
        <v>9665.25</v>
      </c>
      <c r="I275" s="17">
        <f t="shared" si="20"/>
        <v>10148.512500000001</v>
      </c>
      <c r="J275" s="112">
        <f t="shared" si="21"/>
        <v>10960.393500000002</v>
      </c>
      <c r="K275" s="112">
        <v>10960.393500000002</v>
      </c>
      <c r="L275" s="17">
        <f t="shared" si="18"/>
        <v>6532.394526000001</v>
      </c>
      <c r="M275" t="s">
        <v>3246</v>
      </c>
    </row>
    <row r="276" spans="2:13" x14ac:dyDescent="0.25">
      <c r="B276" s="6" t="s">
        <v>565</v>
      </c>
      <c r="C276" s="15" t="s">
        <v>263</v>
      </c>
      <c r="D276" s="7" t="s">
        <v>667</v>
      </c>
      <c r="E276" s="2" t="s">
        <v>513</v>
      </c>
      <c r="F276" s="7" t="s">
        <v>701</v>
      </c>
      <c r="G276" s="11">
        <f>9385-517+563</f>
        <v>9431</v>
      </c>
      <c r="H276" s="17">
        <f t="shared" si="19"/>
        <v>9902.5500000000011</v>
      </c>
      <c r="I276" s="17">
        <f t="shared" si="20"/>
        <v>10397.677500000002</v>
      </c>
      <c r="J276" s="112">
        <f t="shared" si="21"/>
        <v>11229.491700000002</v>
      </c>
      <c r="K276" s="112">
        <v>11229.491700000002</v>
      </c>
      <c r="L276" s="17">
        <f t="shared" si="18"/>
        <v>6692.7770532000013</v>
      </c>
      <c r="M276" t="s">
        <v>3246</v>
      </c>
    </row>
    <row r="277" spans="2:13" x14ac:dyDescent="0.25">
      <c r="B277" s="6" t="s">
        <v>566</v>
      </c>
      <c r="C277" s="15" t="s">
        <v>263</v>
      </c>
      <c r="D277" s="7" t="s">
        <v>668</v>
      </c>
      <c r="E277" s="2" t="s">
        <v>514</v>
      </c>
      <c r="F277" s="7" t="s">
        <v>701</v>
      </c>
      <c r="G277" s="11">
        <f>9611-517+563</f>
        <v>9657</v>
      </c>
      <c r="H277" s="17">
        <f t="shared" si="19"/>
        <v>10139.85</v>
      </c>
      <c r="I277" s="17">
        <f t="shared" si="20"/>
        <v>10646.842500000001</v>
      </c>
      <c r="J277" s="112">
        <f t="shared" si="21"/>
        <v>11498.589900000001</v>
      </c>
      <c r="K277" s="112">
        <v>11498.589900000001</v>
      </c>
      <c r="L277" s="17">
        <f t="shared" si="18"/>
        <v>6853.1595803999999</v>
      </c>
      <c r="M277" t="s">
        <v>3246</v>
      </c>
    </row>
    <row r="278" spans="2:13" x14ac:dyDescent="0.25">
      <c r="B278" s="6" t="s">
        <v>567</v>
      </c>
      <c r="C278" s="15" t="s">
        <v>263</v>
      </c>
      <c r="D278" s="7" t="s">
        <v>669</v>
      </c>
      <c r="E278" s="2" t="s">
        <v>515</v>
      </c>
      <c r="F278" s="7" t="s">
        <v>701</v>
      </c>
      <c r="G278" s="11">
        <f>9838-517+563</f>
        <v>9884</v>
      </c>
      <c r="H278" s="17">
        <f t="shared" si="19"/>
        <v>10378.200000000001</v>
      </c>
      <c r="I278" s="17">
        <f t="shared" si="20"/>
        <v>10897.11</v>
      </c>
      <c r="J278" s="112">
        <f t="shared" si="21"/>
        <v>11768.878800000002</v>
      </c>
      <c r="K278" s="112">
        <v>11768.878800000002</v>
      </c>
      <c r="L278" s="17">
        <f t="shared" si="18"/>
        <v>7014.2517648000012</v>
      </c>
      <c r="M278" t="s">
        <v>3246</v>
      </c>
    </row>
    <row r="279" spans="2:13" x14ac:dyDescent="0.25">
      <c r="B279" s="6" t="s">
        <v>568</v>
      </c>
      <c r="C279" s="15" t="s">
        <v>263</v>
      </c>
      <c r="D279" s="7" t="s">
        <v>670</v>
      </c>
      <c r="E279" s="2" t="s">
        <v>516</v>
      </c>
      <c r="F279" s="7" t="s">
        <v>701</v>
      </c>
      <c r="G279" s="11">
        <f>10065-517+563</f>
        <v>10111</v>
      </c>
      <c r="H279" s="17">
        <f t="shared" si="19"/>
        <v>10616.550000000001</v>
      </c>
      <c r="I279" s="17">
        <f t="shared" si="20"/>
        <v>11147.377500000002</v>
      </c>
      <c r="J279" s="112">
        <f t="shared" si="21"/>
        <v>12039.167700000004</v>
      </c>
      <c r="K279" s="112">
        <v>12039.167700000004</v>
      </c>
      <c r="L279" s="17">
        <f t="shared" si="18"/>
        <v>7175.3439492000016</v>
      </c>
      <c r="M279" t="s">
        <v>3246</v>
      </c>
    </row>
    <row r="280" spans="2:13" x14ac:dyDescent="0.25">
      <c r="B280" s="6" t="s">
        <v>569</v>
      </c>
      <c r="C280" s="15" t="s">
        <v>263</v>
      </c>
      <c r="D280" s="7" t="s">
        <v>671</v>
      </c>
      <c r="E280" s="2" t="s">
        <v>517</v>
      </c>
      <c r="F280" s="7" t="s">
        <v>701</v>
      </c>
      <c r="G280" s="11">
        <f>10290-517+563</f>
        <v>10336</v>
      </c>
      <c r="H280" s="17">
        <f t="shared" si="19"/>
        <v>10852.800000000001</v>
      </c>
      <c r="I280" s="17">
        <f t="shared" si="20"/>
        <v>11395.440000000002</v>
      </c>
      <c r="J280" s="112">
        <f t="shared" si="21"/>
        <v>12307.075200000003</v>
      </c>
      <c r="K280" s="112">
        <v>12307.075200000003</v>
      </c>
      <c r="L280" s="17">
        <f t="shared" si="18"/>
        <v>7335.016819200001</v>
      </c>
      <c r="M280" t="s">
        <v>3246</v>
      </c>
    </row>
    <row r="281" spans="2:13" x14ac:dyDescent="0.25">
      <c r="B281" s="6" t="s">
        <v>570</v>
      </c>
      <c r="C281" s="15" t="s">
        <v>263</v>
      </c>
      <c r="D281" s="7" t="s">
        <v>672</v>
      </c>
      <c r="E281" s="2" t="s">
        <v>518</v>
      </c>
      <c r="F281" s="7" t="s">
        <v>701</v>
      </c>
      <c r="G281" s="11">
        <f>10517-517+563</f>
        <v>10563</v>
      </c>
      <c r="H281" s="17">
        <f t="shared" si="19"/>
        <v>11091.15</v>
      </c>
      <c r="I281" s="17">
        <f t="shared" si="20"/>
        <v>11645.7075</v>
      </c>
      <c r="J281" s="112">
        <f t="shared" si="21"/>
        <v>12577.364100000001</v>
      </c>
      <c r="K281" s="112">
        <v>12577.364100000001</v>
      </c>
      <c r="L281" s="17">
        <f t="shared" si="18"/>
        <v>7496.1090036000005</v>
      </c>
      <c r="M281" t="s">
        <v>3246</v>
      </c>
    </row>
    <row r="282" spans="2:13" x14ac:dyDescent="0.25">
      <c r="B282" s="6" t="s">
        <v>571</v>
      </c>
      <c r="C282" s="15" t="s">
        <v>263</v>
      </c>
      <c r="D282" s="7" t="s">
        <v>673</v>
      </c>
      <c r="E282" s="2" t="s">
        <v>519</v>
      </c>
      <c r="F282" s="7" t="s">
        <v>701</v>
      </c>
      <c r="G282" s="11">
        <f>10744-517+563</f>
        <v>10790</v>
      </c>
      <c r="H282" s="17">
        <f t="shared" si="19"/>
        <v>11329.5</v>
      </c>
      <c r="I282" s="17">
        <f t="shared" si="20"/>
        <v>11895.975</v>
      </c>
      <c r="J282" s="112">
        <f t="shared" si="21"/>
        <v>12847.653000000002</v>
      </c>
      <c r="K282" s="112">
        <v>12847.653000000002</v>
      </c>
      <c r="L282" s="17">
        <f t="shared" si="18"/>
        <v>7657.2011880000009</v>
      </c>
      <c r="M282" t="s">
        <v>3246</v>
      </c>
    </row>
    <row r="283" spans="2:13" x14ac:dyDescent="0.25">
      <c r="B283" s="6" t="s">
        <v>572</v>
      </c>
      <c r="C283" s="15" t="s">
        <v>263</v>
      </c>
      <c r="D283" s="7" t="s">
        <v>674</v>
      </c>
      <c r="E283" s="2" t="s">
        <v>520</v>
      </c>
      <c r="F283" s="7" t="s">
        <v>703</v>
      </c>
      <c r="G283" s="11">
        <f>7986-517+563</f>
        <v>8032</v>
      </c>
      <c r="H283" s="17">
        <f t="shared" si="19"/>
        <v>8433.6</v>
      </c>
      <c r="I283" s="17">
        <f t="shared" si="20"/>
        <v>8855.2800000000007</v>
      </c>
      <c r="J283" s="112">
        <f t="shared" si="21"/>
        <v>9563.7024000000019</v>
      </c>
      <c r="K283" s="112">
        <v>9563.7024000000019</v>
      </c>
      <c r="L283" s="17">
        <f t="shared" si="18"/>
        <v>5699.9666304000011</v>
      </c>
      <c r="M283" t="s">
        <v>3246</v>
      </c>
    </row>
    <row r="284" spans="2:13" x14ac:dyDescent="0.25">
      <c r="B284" s="6" t="s">
        <v>573</v>
      </c>
      <c r="C284" s="15" t="s">
        <v>263</v>
      </c>
      <c r="D284" s="7" t="s">
        <v>675</v>
      </c>
      <c r="E284" s="2" t="s">
        <v>521</v>
      </c>
      <c r="F284" s="7" t="s">
        <v>703</v>
      </c>
      <c r="G284" s="11">
        <f>8967-517+563</f>
        <v>9013</v>
      </c>
      <c r="H284" s="17">
        <f t="shared" si="19"/>
        <v>9463.65</v>
      </c>
      <c r="I284" s="17">
        <f t="shared" si="20"/>
        <v>9936.8325000000004</v>
      </c>
      <c r="J284" s="112">
        <f t="shared" si="21"/>
        <v>10731.779100000002</v>
      </c>
      <c r="K284" s="112">
        <v>10731.779100000002</v>
      </c>
      <c r="L284" s="17">
        <f t="shared" si="18"/>
        <v>6396.140343600001</v>
      </c>
      <c r="M284" t="s">
        <v>3246</v>
      </c>
    </row>
    <row r="285" spans="2:13" x14ac:dyDescent="0.25">
      <c r="B285" s="6" t="s">
        <v>574</v>
      </c>
      <c r="C285" s="15" t="s">
        <v>263</v>
      </c>
      <c r="D285" s="7" t="s">
        <v>676</v>
      </c>
      <c r="E285" s="2" t="s">
        <v>522</v>
      </c>
      <c r="F285" s="7" t="s">
        <v>704</v>
      </c>
      <c r="G285" s="11">
        <f>9219-517+563</f>
        <v>9265</v>
      </c>
      <c r="H285" s="17">
        <f t="shared" si="19"/>
        <v>9728.25</v>
      </c>
      <c r="I285" s="17">
        <f t="shared" si="20"/>
        <v>10214.6625</v>
      </c>
      <c r="J285" s="112">
        <f t="shared" si="21"/>
        <v>11031.835500000001</v>
      </c>
      <c r="K285" s="112">
        <v>11031.835500000001</v>
      </c>
      <c r="L285" s="17">
        <f t="shared" si="18"/>
        <v>6574.9739580000005</v>
      </c>
      <c r="M285" t="s">
        <v>3246</v>
      </c>
    </row>
    <row r="286" spans="2:13" x14ac:dyDescent="0.25">
      <c r="B286" s="6" t="s">
        <v>575</v>
      </c>
      <c r="C286" s="15" t="s">
        <v>263</v>
      </c>
      <c r="D286" s="7" t="s">
        <v>677</v>
      </c>
      <c r="E286" s="2" t="s">
        <v>523</v>
      </c>
      <c r="F286" s="7" t="s">
        <v>704</v>
      </c>
      <c r="G286" s="11">
        <f>9471-571+563</f>
        <v>9463</v>
      </c>
      <c r="H286" s="17">
        <f t="shared" si="19"/>
        <v>9936.15</v>
      </c>
      <c r="I286" s="17">
        <f t="shared" si="20"/>
        <v>10432.9575</v>
      </c>
      <c r="J286" s="112">
        <f t="shared" si="21"/>
        <v>11267.594100000002</v>
      </c>
      <c r="K286" s="112">
        <v>11267.594100000002</v>
      </c>
      <c r="L286" s="17">
        <f t="shared" si="18"/>
        <v>6715.4860836000007</v>
      </c>
      <c r="M286" t="s">
        <v>3246</v>
      </c>
    </row>
    <row r="287" spans="2:13" x14ac:dyDescent="0.25">
      <c r="B287" s="6" t="s">
        <v>576</v>
      </c>
      <c r="C287" s="15" t="s">
        <v>263</v>
      </c>
      <c r="D287" s="7" t="s">
        <v>678</v>
      </c>
      <c r="E287" s="2" t="s">
        <v>524</v>
      </c>
      <c r="F287" s="7" t="s">
        <v>704</v>
      </c>
      <c r="G287" s="11">
        <f>9723-517+563</f>
        <v>9769</v>
      </c>
      <c r="H287" s="17">
        <f t="shared" si="19"/>
        <v>10257.450000000001</v>
      </c>
      <c r="I287" s="17">
        <f t="shared" si="20"/>
        <v>10770.322500000002</v>
      </c>
      <c r="J287" s="112">
        <f t="shared" si="21"/>
        <v>11631.948300000004</v>
      </c>
      <c r="K287" s="112">
        <v>11631.948300000004</v>
      </c>
      <c r="L287" s="17">
        <f t="shared" si="18"/>
        <v>6932.6411868000023</v>
      </c>
      <c r="M287" t="s">
        <v>3246</v>
      </c>
    </row>
    <row r="288" spans="2:13" x14ac:dyDescent="0.25">
      <c r="B288" s="6" t="s">
        <v>577</v>
      </c>
      <c r="C288" s="15" t="s">
        <v>263</v>
      </c>
      <c r="D288" s="7" t="s">
        <v>679</v>
      </c>
      <c r="E288" s="2" t="s">
        <v>525</v>
      </c>
      <c r="F288" s="7" t="s">
        <v>704</v>
      </c>
      <c r="G288" s="11">
        <f>9977-517+563</f>
        <v>10023</v>
      </c>
      <c r="H288" s="17">
        <f t="shared" si="19"/>
        <v>10524.15</v>
      </c>
      <c r="I288" s="17">
        <f t="shared" si="20"/>
        <v>11050.3575</v>
      </c>
      <c r="J288" s="112">
        <f t="shared" si="21"/>
        <v>11934.386100000002</v>
      </c>
      <c r="K288" s="112">
        <v>11934.386100000002</v>
      </c>
      <c r="L288" s="17">
        <f t="shared" si="18"/>
        <v>7112.894115600001</v>
      </c>
      <c r="M288" t="s">
        <v>3246</v>
      </c>
    </row>
    <row r="289" spans="2:13" x14ac:dyDescent="0.25">
      <c r="B289" s="6" t="s">
        <v>578</v>
      </c>
      <c r="C289" s="15" t="s">
        <v>263</v>
      </c>
      <c r="D289" s="7" t="s">
        <v>680</v>
      </c>
      <c r="E289" s="2" t="s">
        <v>526</v>
      </c>
      <c r="F289" s="7" t="s">
        <v>704</v>
      </c>
      <c r="G289" s="11">
        <f>10229-517+563</f>
        <v>10275</v>
      </c>
      <c r="H289" s="17">
        <f t="shared" si="19"/>
        <v>10788.75</v>
      </c>
      <c r="I289" s="17">
        <f t="shared" si="20"/>
        <v>11328.1875</v>
      </c>
      <c r="J289" s="112">
        <f t="shared" si="21"/>
        <v>12234.442500000001</v>
      </c>
      <c r="K289" s="112">
        <v>12234.442500000001</v>
      </c>
      <c r="L289" s="17">
        <f t="shared" si="18"/>
        <v>7291.7277300000005</v>
      </c>
      <c r="M289" t="s">
        <v>3246</v>
      </c>
    </row>
    <row r="290" spans="2:13" x14ac:dyDescent="0.25">
      <c r="B290" s="6" t="s">
        <v>579</v>
      </c>
      <c r="C290" s="15" t="s">
        <v>263</v>
      </c>
      <c r="D290" s="7" t="s">
        <v>681</v>
      </c>
      <c r="E290" s="2" t="s">
        <v>527</v>
      </c>
      <c r="F290" s="7" t="s">
        <v>704</v>
      </c>
      <c r="G290" s="11">
        <f>10481-571+563</f>
        <v>10473</v>
      </c>
      <c r="H290" s="17">
        <f t="shared" si="19"/>
        <v>10996.65</v>
      </c>
      <c r="I290" s="17">
        <f t="shared" si="20"/>
        <v>11546.4825</v>
      </c>
      <c r="J290" s="112">
        <f t="shared" si="21"/>
        <v>12470.2011</v>
      </c>
      <c r="K290" s="112">
        <v>12470.2011</v>
      </c>
      <c r="L290" s="17">
        <f t="shared" si="18"/>
        <v>7432.2398555999998</v>
      </c>
      <c r="M290" t="s">
        <v>3246</v>
      </c>
    </row>
    <row r="291" spans="2:13" x14ac:dyDescent="0.25">
      <c r="B291" s="6" t="s">
        <v>580</v>
      </c>
      <c r="C291" s="15" t="s">
        <v>263</v>
      </c>
      <c r="D291" s="7" t="s">
        <v>682</v>
      </c>
      <c r="E291" s="2" t="s">
        <v>528</v>
      </c>
      <c r="F291" s="7" t="s">
        <v>704</v>
      </c>
      <c r="G291" s="11">
        <f>10733-517+563</f>
        <v>10779</v>
      </c>
      <c r="H291" s="17">
        <f t="shared" si="19"/>
        <v>11317.95</v>
      </c>
      <c r="I291" s="17">
        <f t="shared" si="20"/>
        <v>11883.847500000002</v>
      </c>
      <c r="J291" s="112">
        <f t="shared" si="21"/>
        <v>12834.555300000002</v>
      </c>
      <c r="K291" s="112">
        <v>12834.555300000002</v>
      </c>
      <c r="L291" s="17">
        <f t="shared" si="18"/>
        <v>7649.3949588000005</v>
      </c>
      <c r="M291" t="s">
        <v>3246</v>
      </c>
    </row>
    <row r="292" spans="2:13" x14ac:dyDescent="0.25">
      <c r="B292" s="6" t="s">
        <v>581</v>
      </c>
      <c r="C292" s="15" t="s">
        <v>263</v>
      </c>
      <c r="D292" s="7" t="s">
        <v>683</v>
      </c>
      <c r="E292" s="2" t="s">
        <v>529</v>
      </c>
      <c r="F292" s="7" t="s">
        <v>704</v>
      </c>
      <c r="G292" s="11">
        <f>10986-517+563</f>
        <v>11032</v>
      </c>
      <c r="H292" s="17">
        <f t="shared" si="19"/>
        <v>11583.6</v>
      </c>
      <c r="I292" s="17">
        <f t="shared" si="20"/>
        <v>12162.78</v>
      </c>
      <c r="J292" s="112">
        <f t="shared" si="21"/>
        <v>13135.802400000002</v>
      </c>
      <c r="K292" s="112">
        <v>13135.802400000002</v>
      </c>
      <c r="L292" s="17">
        <f t="shared" si="18"/>
        <v>7828.938230400001</v>
      </c>
      <c r="M292" t="s">
        <v>3246</v>
      </c>
    </row>
    <row r="293" spans="2:13" x14ac:dyDescent="0.25">
      <c r="B293" s="6" t="s">
        <v>582</v>
      </c>
      <c r="C293" s="15" t="s">
        <v>263</v>
      </c>
      <c r="D293" s="7" t="s">
        <v>684</v>
      </c>
      <c r="E293" s="2" t="s">
        <v>530</v>
      </c>
      <c r="F293" s="7" t="s">
        <v>704</v>
      </c>
      <c r="G293" s="11">
        <f>11278-517+563</f>
        <v>11324</v>
      </c>
      <c r="H293" s="17">
        <f t="shared" si="19"/>
        <v>11890.2</v>
      </c>
      <c r="I293" s="17">
        <f t="shared" si="20"/>
        <v>12484.710000000001</v>
      </c>
      <c r="J293" s="112">
        <f t="shared" si="21"/>
        <v>13483.486800000002</v>
      </c>
      <c r="K293" s="112">
        <v>13483.486800000002</v>
      </c>
      <c r="L293" s="17">
        <f t="shared" si="18"/>
        <v>8036.1581328000011</v>
      </c>
      <c r="M293" t="s">
        <v>3246</v>
      </c>
    </row>
    <row r="294" spans="2:13" x14ac:dyDescent="0.25">
      <c r="B294" s="6" t="s">
        <v>583</v>
      </c>
      <c r="C294" s="15" t="s">
        <v>263</v>
      </c>
      <c r="D294" s="7" t="s">
        <v>685</v>
      </c>
      <c r="E294" s="2" t="s">
        <v>531</v>
      </c>
      <c r="F294" s="7" t="s">
        <v>704</v>
      </c>
      <c r="G294" s="11">
        <f>11490-517+563</f>
        <v>11536</v>
      </c>
      <c r="H294" s="17">
        <f t="shared" si="19"/>
        <v>12112.800000000001</v>
      </c>
      <c r="I294" s="17">
        <f t="shared" si="20"/>
        <v>12718.440000000002</v>
      </c>
      <c r="J294" s="112">
        <f t="shared" si="21"/>
        <v>13735.915200000003</v>
      </c>
      <c r="K294" s="112">
        <v>13735.915200000003</v>
      </c>
      <c r="L294" s="17">
        <f t="shared" si="18"/>
        <v>8186.6054592000019</v>
      </c>
      <c r="M294" t="s">
        <v>3246</v>
      </c>
    </row>
    <row r="295" spans="2:13" x14ac:dyDescent="0.25">
      <c r="B295" s="6" t="s">
        <v>584</v>
      </c>
      <c r="C295" s="15" t="s">
        <v>263</v>
      </c>
      <c r="D295" s="7" t="s">
        <v>686</v>
      </c>
      <c r="E295" s="2" t="s">
        <v>532</v>
      </c>
      <c r="F295" s="7" t="s">
        <v>704</v>
      </c>
      <c r="G295" s="11">
        <f>11742-517+563</f>
        <v>11788</v>
      </c>
      <c r="H295" s="17">
        <f t="shared" si="19"/>
        <v>12377.4</v>
      </c>
      <c r="I295" s="17">
        <f t="shared" si="20"/>
        <v>12996.27</v>
      </c>
      <c r="J295" s="112">
        <f t="shared" si="21"/>
        <v>14035.971600000001</v>
      </c>
      <c r="K295" s="112">
        <v>14035.971600000001</v>
      </c>
      <c r="L295" s="17">
        <f t="shared" si="18"/>
        <v>8365.4390736000005</v>
      </c>
      <c r="M295" t="s">
        <v>3246</v>
      </c>
    </row>
    <row r="296" spans="2:13" x14ac:dyDescent="0.25">
      <c r="B296" s="6" t="s">
        <v>585</v>
      </c>
      <c r="C296" s="15" t="s">
        <v>263</v>
      </c>
      <c r="D296" s="7" t="s">
        <v>687</v>
      </c>
      <c r="E296" s="2" t="s">
        <v>533</v>
      </c>
      <c r="F296" s="7" t="s">
        <v>703</v>
      </c>
      <c r="G296" s="11">
        <f>8559-517+563</f>
        <v>8605</v>
      </c>
      <c r="H296" s="17">
        <f t="shared" si="19"/>
        <v>9035.25</v>
      </c>
      <c r="I296" s="17">
        <f t="shared" si="20"/>
        <v>9487.0125000000007</v>
      </c>
      <c r="J296" s="112">
        <f t="shared" si="21"/>
        <v>10245.973500000002</v>
      </c>
      <c r="K296" s="112">
        <v>10245.973500000002</v>
      </c>
      <c r="L296" s="17">
        <f t="shared" si="18"/>
        <v>6106.600206000001</v>
      </c>
      <c r="M296" t="s">
        <v>3246</v>
      </c>
    </row>
    <row r="297" spans="2:13" x14ac:dyDescent="0.25">
      <c r="B297" s="6" t="s">
        <v>586</v>
      </c>
      <c r="C297" s="15" t="s">
        <v>263</v>
      </c>
      <c r="D297" s="7" t="s">
        <v>688</v>
      </c>
      <c r="E297" s="2" t="s">
        <v>534</v>
      </c>
      <c r="F297" s="7" t="s">
        <v>703</v>
      </c>
      <c r="G297" s="11">
        <f>9569-517+563</f>
        <v>9615</v>
      </c>
      <c r="H297" s="17">
        <f t="shared" si="19"/>
        <v>10095.75</v>
      </c>
      <c r="I297" s="17">
        <f t="shared" si="20"/>
        <v>10600.5375</v>
      </c>
      <c r="J297" s="112">
        <f t="shared" si="21"/>
        <v>11448.580500000002</v>
      </c>
      <c r="K297" s="112">
        <v>11448.580500000002</v>
      </c>
      <c r="L297" s="17">
        <f t="shared" si="18"/>
        <v>6823.353978000001</v>
      </c>
      <c r="M297" t="s">
        <v>3246</v>
      </c>
    </row>
    <row r="298" spans="2:13" x14ac:dyDescent="0.25">
      <c r="B298" s="6" t="s">
        <v>587</v>
      </c>
      <c r="C298" s="15" t="s">
        <v>263</v>
      </c>
      <c r="D298" s="7" t="s">
        <v>689</v>
      </c>
      <c r="E298" s="2" t="s">
        <v>535</v>
      </c>
      <c r="F298" s="7" t="s">
        <v>704</v>
      </c>
      <c r="G298" s="11">
        <f>9851-517+563</f>
        <v>9897</v>
      </c>
      <c r="H298" s="17">
        <f t="shared" si="19"/>
        <v>10391.85</v>
      </c>
      <c r="I298" s="17">
        <f t="shared" si="20"/>
        <v>10911.442500000001</v>
      </c>
      <c r="J298" s="112">
        <f t="shared" si="21"/>
        <v>11784.357900000003</v>
      </c>
      <c r="K298" s="112">
        <v>11784.357900000003</v>
      </c>
      <c r="L298" s="17">
        <f t="shared" si="18"/>
        <v>7023.4773084000017</v>
      </c>
      <c r="M298" t="s">
        <v>3246</v>
      </c>
    </row>
    <row r="299" spans="2:13" x14ac:dyDescent="0.25">
      <c r="B299" s="6" t="s">
        <v>588</v>
      </c>
      <c r="C299" s="15" t="s">
        <v>263</v>
      </c>
      <c r="D299" s="7" t="s">
        <v>690</v>
      </c>
      <c r="E299" s="2" t="s">
        <v>536</v>
      </c>
      <c r="F299" s="7" t="s">
        <v>704</v>
      </c>
      <c r="G299" s="11">
        <f>10131-517+563</f>
        <v>10177</v>
      </c>
      <c r="H299" s="17">
        <f t="shared" si="19"/>
        <v>10685.85</v>
      </c>
      <c r="I299" s="17">
        <f t="shared" si="20"/>
        <v>11220.142500000002</v>
      </c>
      <c r="J299" s="112">
        <f t="shared" si="21"/>
        <v>12117.753900000003</v>
      </c>
      <c r="K299" s="112">
        <v>12117.753900000003</v>
      </c>
      <c r="L299" s="17">
        <f t="shared" si="18"/>
        <v>7222.1813244000014</v>
      </c>
      <c r="M299" t="s">
        <v>3246</v>
      </c>
    </row>
    <row r="300" spans="2:13" x14ac:dyDescent="0.25">
      <c r="B300" s="6" t="s">
        <v>589</v>
      </c>
      <c r="C300" s="15" t="s">
        <v>263</v>
      </c>
      <c r="D300" s="7" t="s">
        <v>691</v>
      </c>
      <c r="E300" s="2" t="s">
        <v>537</v>
      </c>
      <c r="F300" s="7" t="s">
        <v>704</v>
      </c>
      <c r="G300" s="11">
        <f>10412-517+563</f>
        <v>10458</v>
      </c>
      <c r="H300" s="17">
        <f t="shared" si="19"/>
        <v>10980.9</v>
      </c>
      <c r="I300" s="17">
        <f t="shared" si="20"/>
        <v>11529.945</v>
      </c>
      <c r="J300" s="112">
        <f t="shared" si="21"/>
        <v>12452.340600000001</v>
      </c>
      <c r="K300" s="112">
        <v>12452.340600000001</v>
      </c>
      <c r="L300" s="17">
        <f t="shared" si="18"/>
        <v>7421.5949976000002</v>
      </c>
      <c r="M300" t="s">
        <v>3246</v>
      </c>
    </row>
    <row r="301" spans="2:13" x14ac:dyDescent="0.25">
      <c r="B301" s="6" t="s">
        <v>590</v>
      </c>
      <c r="C301" s="15" t="s">
        <v>263</v>
      </c>
      <c r="D301" s="7" t="s">
        <v>692</v>
      </c>
      <c r="E301" s="2" t="s">
        <v>538</v>
      </c>
      <c r="F301" s="7" t="s">
        <v>704</v>
      </c>
      <c r="G301" s="11">
        <f>10693-517+563</f>
        <v>10739</v>
      </c>
      <c r="H301" s="17">
        <f t="shared" si="19"/>
        <v>11275.95</v>
      </c>
      <c r="I301" s="17">
        <f t="shared" si="20"/>
        <v>11839.747500000001</v>
      </c>
      <c r="J301" s="112">
        <f t="shared" si="21"/>
        <v>12786.927300000003</v>
      </c>
      <c r="K301" s="112">
        <v>12786.927300000003</v>
      </c>
      <c r="L301" s="17">
        <f t="shared" si="18"/>
        <v>7621.0086708000017</v>
      </c>
      <c r="M301" t="s">
        <v>3246</v>
      </c>
    </row>
    <row r="302" spans="2:13" x14ac:dyDescent="0.25">
      <c r="B302" s="6" t="s">
        <v>591</v>
      </c>
      <c r="C302" s="15" t="s">
        <v>263</v>
      </c>
      <c r="D302" s="7" t="s">
        <v>693</v>
      </c>
      <c r="E302" s="2" t="s">
        <v>539</v>
      </c>
      <c r="F302" s="7" t="s">
        <v>704</v>
      </c>
      <c r="G302" s="11">
        <f>10974-517+563</f>
        <v>11020</v>
      </c>
      <c r="H302" s="17">
        <f t="shared" si="19"/>
        <v>11571</v>
      </c>
      <c r="I302" s="17">
        <f t="shared" si="20"/>
        <v>12149.550000000001</v>
      </c>
      <c r="J302" s="112">
        <f t="shared" si="21"/>
        <v>13121.514000000003</v>
      </c>
      <c r="K302" s="112">
        <v>13121.514000000003</v>
      </c>
      <c r="L302" s="17">
        <f t="shared" si="18"/>
        <v>7820.4223440000014</v>
      </c>
      <c r="M302" t="s">
        <v>3246</v>
      </c>
    </row>
    <row r="303" spans="2:13" x14ac:dyDescent="0.25">
      <c r="B303" s="6" t="s">
        <v>592</v>
      </c>
      <c r="C303" s="15" t="s">
        <v>263</v>
      </c>
      <c r="D303" s="7" t="s">
        <v>694</v>
      </c>
      <c r="E303" s="2" t="s">
        <v>540</v>
      </c>
      <c r="F303" s="7" t="s">
        <v>704</v>
      </c>
      <c r="G303" s="11">
        <f>11254-517+563</f>
        <v>11300</v>
      </c>
      <c r="H303" s="17">
        <f t="shared" si="19"/>
        <v>11865</v>
      </c>
      <c r="I303" s="17">
        <f t="shared" si="20"/>
        <v>12458.25</v>
      </c>
      <c r="J303" s="112">
        <f t="shared" si="21"/>
        <v>13454.910000000002</v>
      </c>
      <c r="K303" s="112">
        <v>13454.910000000002</v>
      </c>
      <c r="L303" s="17">
        <f t="shared" si="18"/>
        <v>8019.1263600000002</v>
      </c>
      <c r="M303" t="s">
        <v>3246</v>
      </c>
    </row>
    <row r="304" spans="2:13" x14ac:dyDescent="0.25">
      <c r="B304" s="6" t="s">
        <v>593</v>
      </c>
      <c r="C304" s="15" t="s">
        <v>263</v>
      </c>
      <c r="D304" s="7" t="s">
        <v>695</v>
      </c>
      <c r="E304" s="2" t="s">
        <v>541</v>
      </c>
      <c r="F304" s="7" t="s">
        <v>704</v>
      </c>
      <c r="G304" s="11">
        <f>11534-517+563</f>
        <v>11580</v>
      </c>
      <c r="H304" s="17">
        <f t="shared" si="19"/>
        <v>12159</v>
      </c>
      <c r="I304" s="17">
        <f t="shared" si="20"/>
        <v>12766.95</v>
      </c>
      <c r="J304" s="112">
        <f t="shared" si="21"/>
        <v>13788.306000000002</v>
      </c>
      <c r="K304" s="112">
        <v>13788.306000000002</v>
      </c>
      <c r="L304" s="17">
        <f t="shared" si="18"/>
        <v>8217.8303760000017</v>
      </c>
      <c r="M304" t="s">
        <v>3246</v>
      </c>
    </row>
    <row r="305" spans="1:13" x14ac:dyDescent="0.25">
      <c r="B305" s="6" t="s">
        <v>594</v>
      </c>
      <c r="C305" s="15" t="s">
        <v>263</v>
      </c>
      <c r="D305" s="7" t="s">
        <v>696</v>
      </c>
      <c r="E305" s="2" t="s">
        <v>542</v>
      </c>
      <c r="F305" s="7" t="s">
        <v>704</v>
      </c>
      <c r="G305" s="11">
        <f>11816-517+563</f>
        <v>11862</v>
      </c>
      <c r="H305" s="17">
        <f t="shared" si="19"/>
        <v>12455.1</v>
      </c>
      <c r="I305" s="17">
        <f t="shared" si="20"/>
        <v>13077.855000000001</v>
      </c>
      <c r="J305" s="112">
        <f t="shared" si="21"/>
        <v>14124.083400000003</v>
      </c>
      <c r="K305" s="112">
        <v>14124.083400000003</v>
      </c>
      <c r="L305" s="17">
        <f t="shared" si="18"/>
        <v>8417.9537064000015</v>
      </c>
      <c r="M305" t="s">
        <v>3246</v>
      </c>
    </row>
    <row r="306" spans="1:13" x14ac:dyDescent="0.25">
      <c r="B306" s="6" t="s">
        <v>595</v>
      </c>
      <c r="C306" s="15" t="s">
        <v>263</v>
      </c>
      <c r="D306" s="7" t="s">
        <v>697</v>
      </c>
      <c r="E306" s="2" t="s">
        <v>543</v>
      </c>
      <c r="F306" s="7" t="s">
        <v>704</v>
      </c>
      <c r="G306" s="11">
        <f>12098-517+563</f>
        <v>12144</v>
      </c>
      <c r="H306" s="17">
        <f t="shared" si="19"/>
        <v>12751.2</v>
      </c>
      <c r="I306" s="17">
        <f t="shared" si="20"/>
        <v>13388.760000000002</v>
      </c>
      <c r="J306" s="112">
        <f t="shared" si="21"/>
        <v>14459.860800000004</v>
      </c>
      <c r="K306" s="112">
        <v>14459.860800000004</v>
      </c>
      <c r="L306" s="17">
        <f t="shared" si="18"/>
        <v>8618.0770368000012</v>
      </c>
      <c r="M306" t="s">
        <v>3246</v>
      </c>
    </row>
    <row r="307" spans="1:13" x14ac:dyDescent="0.25">
      <c r="B307" s="6" t="s">
        <v>596</v>
      </c>
      <c r="C307" s="15" t="s">
        <v>263</v>
      </c>
      <c r="D307" s="7" t="s">
        <v>698</v>
      </c>
      <c r="E307" s="2" t="s">
        <v>544</v>
      </c>
      <c r="F307" s="7" t="s">
        <v>704</v>
      </c>
      <c r="G307" s="11">
        <f>12379-517+563</f>
        <v>12425</v>
      </c>
      <c r="H307" s="17">
        <f t="shared" si="19"/>
        <v>13046.25</v>
      </c>
      <c r="I307" s="17">
        <f t="shared" si="20"/>
        <v>13698.5625</v>
      </c>
      <c r="J307" s="112">
        <f t="shared" si="21"/>
        <v>14794.4475</v>
      </c>
      <c r="K307" s="112">
        <v>14794.4475</v>
      </c>
      <c r="L307" s="17">
        <f t="shared" si="18"/>
        <v>8817.49071</v>
      </c>
      <c r="M307" t="s">
        <v>3246</v>
      </c>
    </row>
    <row r="308" spans="1:13" x14ac:dyDescent="0.25">
      <c r="B308" s="6" t="s">
        <v>597</v>
      </c>
      <c r="C308" s="15" t="s">
        <v>263</v>
      </c>
      <c r="D308" s="7" t="s">
        <v>699</v>
      </c>
      <c r="E308" s="2" t="s">
        <v>545</v>
      </c>
      <c r="F308" s="7" t="s">
        <v>704</v>
      </c>
      <c r="G308" s="11">
        <f>12659-517+563</f>
        <v>12705</v>
      </c>
      <c r="H308" s="17">
        <f t="shared" si="19"/>
        <v>13340.25</v>
      </c>
      <c r="I308" s="17">
        <f t="shared" si="20"/>
        <v>14007.262500000001</v>
      </c>
      <c r="J308" s="112">
        <f t="shared" si="21"/>
        <v>15127.843500000003</v>
      </c>
      <c r="K308" s="112">
        <v>15127.843500000003</v>
      </c>
      <c r="L308" s="17">
        <f t="shared" si="18"/>
        <v>9016.1947260000015</v>
      </c>
      <c r="M308" t="s">
        <v>3246</v>
      </c>
    </row>
    <row r="309" spans="1:13" s="62" customFormat="1" x14ac:dyDescent="0.25">
      <c r="A309" s="62" t="s">
        <v>2910</v>
      </c>
      <c r="B309" s="75" t="s">
        <v>2903</v>
      </c>
      <c r="C309" s="68"/>
      <c r="D309" s="63"/>
      <c r="E309" s="64"/>
      <c r="F309" s="63"/>
      <c r="G309" s="65"/>
      <c r="H309" s="17"/>
      <c r="I309" s="17">
        <f t="shared" si="20"/>
        <v>0</v>
      </c>
      <c r="J309" s="113"/>
      <c r="K309" s="113"/>
      <c r="L309" s="70"/>
    </row>
    <row r="310" spans="1:13" x14ac:dyDescent="0.25">
      <c r="A310" s="4"/>
      <c r="B310" s="6" t="s">
        <v>598</v>
      </c>
      <c r="C310" s="15" t="s">
        <v>700</v>
      </c>
      <c r="D310" s="7" t="s">
        <v>145</v>
      </c>
      <c r="E310" s="2" t="s">
        <v>65</v>
      </c>
      <c r="F310" s="7" t="s">
        <v>705</v>
      </c>
      <c r="G310" s="11">
        <f>8389-517+563</f>
        <v>8435</v>
      </c>
      <c r="H310" s="17">
        <f t="shared" si="19"/>
        <v>8856.75</v>
      </c>
      <c r="I310" s="17">
        <f t="shared" si="20"/>
        <v>9299.5874999999996</v>
      </c>
      <c r="J310" s="112">
        <f t="shared" si="21"/>
        <v>10043.5545</v>
      </c>
      <c r="K310" s="112">
        <f>J310*1.11</f>
        <v>11148.345495000001</v>
      </c>
      <c r="L310" s="17">
        <f t="shared" si="18"/>
        <v>6644.4139150200008</v>
      </c>
      <c r="M310" t="s">
        <v>4001</v>
      </c>
    </row>
    <row r="311" spans="1:13" x14ac:dyDescent="0.25">
      <c r="A311" s="30"/>
      <c r="B311" s="6" t="s">
        <v>599</v>
      </c>
      <c r="C311" s="15" t="s">
        <v>700</v>
      </c>
      <c r="D311" s="7" t="s">
        <v>650</v>
      </c>
      <c r="E311" s="2" t="s">
        <v>496</v>
      </c>
      <c r="F311" s="7" t="s">
        <v>705</v>
      </c>
      <c r="G311" s="11">
        <f>7594-517+563</f>
        <v>7640</v>
      </c>
      <c r="H311" s="17">
        <f t="shared" si="19"/>
        <v>8022</v>
      </c>
      <c r="I311" s="17">
        <f t="shared" si="20"/>
        <v>8423.1</v>
      </c>
      <c r="J311" s="112">
        <f t="shared" si="21"/>
        <v>9096.9480000000003</v>
      </c>
      <c r="K311" s="112">
        <f t="shared" ref="K311:K361" si="22">J311*1.11</f>
        <v>10097.612280000001</v>
      </c>
      <c r="L311" s="17">
        <f t="shared" si="18"/>
        <v>6018.1769188800008</v>
      </c>
      <c r="M311" t="s">
        <v>4001</v>
      </c>
    </row>
    <row r="312" spans="1:13" x14ac:dyDescent="0.25">
      <c r="B312" s="6" t="s">
        <v>600</v>
      </c>
      <c r="C312" s="15" t="s">
        <v>700</v>
      </c>
      <c r="D312" s="7" t="s">
        <v>651</v>
      </c>
      <c r="E312" s="2" t="s">
        <v>497</v>
      </c>
      <c r="F312" s="7" t="s">
        <v>706</v>
      </c>
      <c r="G312" s="11">
        <f>8554-517+563</f>
        <v>8600</v>
      </c>
      <c r="H312" s="17">
        <f t="shared" si="19"/>
        <v>9030</v>
      </c>
      <c r="I312" s="17">
        <f t="shared" si="20"/>
        <v>9481.5</v>
      </c>
      <c r="J312" s="112">
        <f t="shared" si="21"/>
        <v>10240.02</v>
      </c>
      <c r="K312" s="112">
        <f t="shared" si="22"/>
        <v>11366.422200000001</v>
      </c>
      <c r="L312" s="17">
        <f t="shared" si="18"/>
        <v>6774.3876312000002</v>
      </c>
      <c r="M312" t="s">
        <v>4001</v>
      </c>
    </row>
    <row r="313" spans="1:13" x14ac:dyDescent="0.25">
      <c r="B313" s="6" t="s">
        <v>601</v>
      </c>
      <c r="C313" s="15" t="s">
        <v>700</v>
      </c>
      <c r="D313" s="7" t="s">
        <v>652</v>
      </c>
      <c r="E313" s="2" t="s">
        <v>498</v>
      </c>
      <c r="F313" s="7" t="s">
        <v>706</v>
      </c>
      <c r="G313" s="11">
        <f>8774-517+563</f>
        <v>8820</v>
      </c>
      <c r="H313" s="17">
        <f t="shared" si="19"/>
        <v>9261</v>
      </c>
      <c r="I313" s="17">
        <f t="shared" si="20"/>
        <v>9724.0500000000011</v>
      </c>
      <c r="J313" s="112">
        <f t="shared" si="21"/>
        <v>10501.974000000002</v>
      </c>
      <c r="K313" s="112">
        <f t="shared" si="22"/>
        <v>11657.191140000003</v>
      </c>
      <c r="L313" s="17">
        <f t="shared" si="18"/>
        <v>6947.6859194400013</v>
      </c>
      <c r="M313" t="s">
        <v>4001</v>
      </c>
    </row>
    <row r="314" spans="1:13" x14ac:dyDescent="0.25">
      <c r="B314" s="6" t="s">
        <v>602</v>
      </c>
      <c r="C314" s="15" t="s">
        <v>700</v>
      </c>
      <c r="D314" s="7" t="s">
        <v>653</v>
      </c>
      <c r="E314" s="2" t="s">
        <v>499</v>
      </c>
      <c r="F314" s="7" t="s">
        <v>706</v>
      </c>
      <c r="G314" s="11">
        <f>8996-517+563</f>
        <v>9042</v>
      </c>
      <c r="H314" s="17">
        <f t="shared" si="19"/>
        <v>9494.1</v>
      </c>
      <c r="I314" s="17">
        <f t="shared" si="20"/>
        <v>9968.8050000000003</v>
      </c>
      <c r="J314" s="112">
        <f t="shared" si="21"/>
        <v>10766.309400000002</v>
      </c>
      <c r="K314" s="112">
        <f t="shared" si="22"/>
        <v>11950.603434000002</v>
      </c>
      <c r="L314" s="17">
        <f t="shared" si="18"/>
        <v>7122.5596466640009</v>
      </c>
      <c r="M314" t="s">
        <v>4001</v>
      </c>
    </row>
    <row r="315" spans="1:13" x14ac:dyDescent="0.25">
      <c r="B315" s="6" t="s">
        <v>603</v>
      </c>
      <c r="C315" s="15" t="s">
        <v>700</v>
      </c>
      <c r="D315" s="7" t="s">
        <v>654</v>
      </c>
      <c r="E315" s="2" t="s">
        <v>500</v>
      </c>
      <c r="F315" s="7" t="s">
        <v>706</v>
      </c>
      <c r="G315" s="11">
        <f>9217-517+563</f>
        <v>9263</v>
      </c>
      <c r="H315" s="17">
        <f t="shared" si="19"/>
        <v>9726.15</v>
      </c>
      <c r="I315" s="17">
        <f t="shared" si="20"/>
        <v>10212.4575</v>
      </c>
      <c r="J315" s="112">
        <f t="shared" si="21"/>
        <v>11029.454100000001</v>
      </c>
      <c r="K315" s="112">
        <f t="shared" si="22"/>
        <v>12242.694051000002</v>
      </c>
      <c r="L315" s="17">
        <f t="shared" si="18"/>
        <v>7296.6456543960012</v>
      </c>
      <c r="M315" t="s">
        <v>4001</v>
      </c>
    </row>
    <row r="316" spans="1:13" x14ac:dyDescent="0.25">
      <c r="B316" s="6" t="s">
        <v>604</v>
      </c>
      <c r="C316" s="15" t="s">
        <v>700</v>
      </c>
      <c r="D316" s="7" t="s">
        <v>655</v>
      </c>
      <c r="E316" s="2" t="s">
        <v>501</v>
      </c>
      <c r="F316" s="7" t="s">
        <v>706</v>
      </c>
      <c r="G316" s="11">
        <f>9437-517+563</f>
        <v>9483</v>
      </c>
      <c r="H316" s="17">
        <f t="shared" si="19"/>
        <v>9957.15</v>
      </c>
      <c r="I316" s="17">
        <f t="shared" si="20"/>
        <v>10455.0075</v>
      </c>
      <c r="J316" s="112">
        <f t="shared" si="21"/>
        <v>11291.408100000001</v>
      </c>
      <c r="K316" s="112">
        <f t="shared" si="22"/>
        <v>12533.462991000002</v>
      </c>
      <c r="L316" s="17">
        <f t="shared" si="18"/>
        <v>7469.9439426360013</v>
      </c>
      <c r="M316" t="s">
        <v>4001</v>
      </c>
    </row>
    <row r="317" spans="1:13" x14ac:dyDescent="0.25">
      <c r="B317" s="6" t="s">
        <v>605</v>
      </c>
      <c r="C317" s="15" t="s">
        <v>700</v>
      </c>
      <c r="D317" s="7" t="s">
        <v>656</v>
      </c>
      <c r="E317" s="2" t="s">
        <v>502</v>
      </c>
      <c r="F317" s="7" t="s">
        <v>706</v>
      </c>
      <c r="G317" s="11">
        <f>9657-517+563</f>
        <v>9703</v>
      </c>
      <c r="H317" s="17">
        <f t="shared" si="19"/>
        <v>10188.15</v>
      </c>
      <c r="I317" s="17">
        <f t="shared" si="20"/>
        <v>10697.557500000001</v>
      </c>
      <c r="J317" s="112">
        <f t="shared" si="21"/>
        <v>11553.362100000002</v>
      </c>
      <c r="K317" s="112">
        <f t="shared" si="22"/>
        <v>12824.231931000004</v>
      </c>
      <c r="L317" s="17">
        <f t="shared" si="18"/>
        <v>7643.2422308760024</v>
      </c>
      <c r="M317" t="s">
        <v>4001</v>
      </c>
    </row>
    <row r="318" spans="1:13" x14ac:dyDescent="0.25">
      <c r="B318" s="6" t="s">
        <v>606</v>
      </c>
      <c r="C318" s="15" t="s">
        <v>700</v>
      </c>
      <c r="D318" s="7" t="s">
        <v>657</v>
      </c>
      <c r="E318" s="2" t="s">
        <v>503</v>
      </c>
      <c r="F318" s="7" t="s">
        <v>706</v>
      </c>
      <c r="G318" s="11">
        <f>9777-517+563</f>
        <v>9823</v>
      </c>
      <c r="H318" s="17">
        <f t="shared" si="19"/>
        <v>10314.15</v>
      </c>
      <c r="I318" s="17">
        <f t="shared" si="20"/>
        <v>10829.8575</v>
      </c>
      <c r="J318" s="112">
        <f t="shared" si="21"/>
        <v>11696.2461</v>
      </c>
      <c r="K318" s="112">
        <f t="shared" si="22"/>
        <v>12982.833171000002</v>
      </c>
      <c r="L318" s="17">
        <f t="shared" si="18"/>
        <v>7737.7685699160011</v>
      </c>
      <c r="M318" t="s">
        <v>4001</v>
      </c>
    </row>
    <row r="319" spans="1:13" x14ac:dyDescent="0.25">
      <c r="B319" s="6" t="s">
        <v>607</v>
      </c>
      <c r="C319" s="15" t="s">
        <v>700</v>
      </c>
      <c r="D319" s="7" t="s">
        <v>658</v>
      </c>
      <c r="E319" s="2" t="s">
        <v>504</v>
      </c>
      <c r="F319" s="7" t="s">
        <v>706</v>
      </c>
      <c r="G319" s="11">
        <f>10099-517+563</f>
        <v>10145</v>
      </c>
      <c r="H319" s="17">
        <f t="shared" si="19"/>
        <v>10652.25</v>
      </c>
      <c r="I319" s="17">
        <f t="shared" si="20"/>
        <v>11184.862500000001</v>
      </c>
      <c r="J319" s="112">
        <f t="shared" si="21"/>
        <v>12079.651500000002</v>
      </c>
      <c r="K319" s="112">
        <f t="shared" si="22"/>
        <v>13408.413165000004</v>
      </c>
      <c r="L319" s="17">
        <f t="shared" si="18"/>
        <v>7991.4142463400021</v>
      </c>
      <c r="M319" t="s">
        <v>4001</v>
      </c>
    </row>
    <row r="320" spans="1:13" x14ac:dyDescent="0.25">
      <c r="B320" s="6" t="s">
        <v>608</v>
      </c>
      <c r="C320" s="15" t="s">
        <v>700</v>
      </c>
      <c r="D320" s="7" t="s">
        <v>659</v>
      </c>
      <c r="E320" s="2" t="s">
        <v>505</v>
      </c>
      <c r="F320" s="7" t="s">
        <v>706</v>
      </c>
      <c r="G320" s="11">
        <f>10319-517+563</f>
        <v>10365</v>
      </c>
      <c r="H320" s="17">
        <f t="shared" si="19"/>
        <v>10883.25</v>
      </c>
      <c r="I320" s="17">
        <f t="shared" si="20"/>
        <v>11427.4125</v>
      </c>
      <c r="J320" s="112">
        <f t="shared" si="21"/>
        <v>12341.605500000001</v>
      </c>
      <c r="K320" s="112">
        <f t="shared" si="22"/>
        <v>13699.182105000004</v>
      </c>
      <c r="L320" s="17">
        <f t="shared" si="18"/>
        <v>8164.7125345800014</v>
      </c>
      <c r="M320" t="s">
        <v>4001</v>
      </c>
    </row>
    <row r="321" spans="1:13" x14ac:dyDescent="0.25">
      <c r="A321" t="s">
        <v>2912</v>
      </c>
      <c r="B321" s="6" t="s">
        <v>609</v>
      </c>
      <c r="C321" s="15" t="s">
        <v>700</v>
      </c>
      <c r="D321" s="7" t="s">
        <v>660</v>
      </c>
      <c r="E321" s="2" t="s">
        <v>506</v>
      </c>
      <c r="F321" s="7" t="s">
        <v>706</v>
      </c>
      <c r="G321" s="11">
        <f>10541-517+563</f>
        <v>10587</v>
      </c>
      <c r="H321" s="17">
        <f t="shared" si="19"/>
        <v>11116.35</v>
      </c>
      <c r="I321" s="17">
        <f t="shared" si="20"/>
        <v>11672.167500000001</v>
      </c>
      <c r="J321" s="112">
        <f t="shared" si="21"/>
        <v>12605.940900000001</v>
      </c>
      <c r="K321" s="112">
        <f t="shared" si="22"/>
        <v>13992.594399000003</v>
      </c>
      <c r="L321" s="17">
        <f t="shared" ref="L321:L384" si="23">K321*0.596</f>
        <v>8339.586261804001</v>
      </c>
      <c r="M321" t="s">
        <v>4001</v>
      </c>
    </row>
    <row r="322" spans="1:13" x14ac:dyDescent="0.25">
      <c r="B322" s="6" t="s">
        <v>610</v>
      </c>
      <c r="C322" s="15" t="s">
        <v>700</v>
      </c>
      <c r="D322" s="7" t="s">
        <v>661</v>
      </c>
      <c r="E322" s="2" t="s">
        <v>507</v>
      </c>
      <c r="F322" s="7" t="s">
        <v>706</v>
      </c>
      <c r="G322" s="11">
        <f>10762-517+563</f>
        <v>10808</v>
      </c>
      <c r="H322" s="17">
        <f t="shared" ref="H322:H385" si="24">G322*1.05</f>
        <v>11348.4</v>
      </c>
      <c r="I322" s="17">
        <f t="shared" ref="I322:I385" si="25">H322*1.05</f>
        <v>11915.82</v>
      </c>
      <c r="J322" s="112">
        <f t="shared" ref="J322:J385" si="26">I322*1.08</f>
        <v>12869.0856</v>
      </c>
      <c r="K322" s="112">
        <f t="shared" si="22"/>
        <v>14284.685016000001</v>
      </c>
      <c r="L322" s="17">
        <f t="shared" si="23"/>
        <v>8513.6722695360004</v>
      </c>
      <c r="M322" t="s">
        <v>4001</v>
      </c>
    </row>
    <row r="323" spans="1:13" x14ac:dyDescent="0.25">
      <c r="B323" s="6" t="s">
        <v>611</v>
      </c>
      <c r="C323" s="15" t="s">
        <v>700</v>
      </c>
      <c r="D323" s="7" t="s">
        <v>149</v>
      </c>
      <c r="E323" s="2" t="s">
        <v>76</v>
      </c>
      <c r="F323" s="7" t="s">
        <v>705</v>
      </c>
      <c r="G323" s="11">
        <f>8680-517+563</f>
        <v>8726</v>
      </c>
      <c r="H323" s="17">
        <f t="shared" si="24"/>
        <v>9162.3000000000011</v>
      </c>
      <c r="I323" s="17">
        <f t="shared" si="25"/>
        <v>9620.4150000000009</v>
      </c>
      <c r="J323" s="112">
        <f t="shared" si="26"/>
        <v>10390.048200000001</v>
      </c>
      <c r="K323" s="112">
        <f t="shared" si="22"/>
        <v>11532.953502000002</v>
      </c>
      <c r="L323" s="17">
        <f t="shared" si="23"/>
        <v>6873.6402871920009</v>
      </c>
      <c r="M323" t="s">
        <v>4001</v>
      </c>
    </row>
    <row r="324" spans="1:13" x14ac:dyDescent="0.25">
      <c r="B324" s="6" t="s">
        <v>612</v>
      </c>
      <c r="C324" s="15" t="s">
        <v>700</v>
      </c>
      <c r="D324" s="7" t="s">
        <v>662</v>
      </c>
      <c r="E324" s="2" t="s">
        <v>508</v>
      </c>
      <c r="F324" s="7" t="s">
        <v>705</v>
      </c>
      <c r="G324" s="11">
        <f>8930-517+563</f>
        <v>8976</v>
      </c>
      <c r="H324" s="17">
        <f t="shared" si="24"/>
        <v>9424.8000000000011</v>
      </c>
      <c r="I324" s="17">
        <f t="shared" si="25"/>
        <v>9896.0400000000009</v>
      </c>
      <c r="J324" s="112">
        <f t="shared" si="26"/>
        <v>10687.723200000002</v>
      </c>
      <c r="K324" s="112">
        <f t="shared" si="22"/>
        <v>11863.372752000003</v>
      </c>
      <c r="L324" s="17">
        <f t="shared" si="23"/>
        <v>7070.5701601920018</v>
      </c>
      <c r="M324" t="s">
        <v>4001</v>
      </c>
    </row>
    <row r="325" spans="1:13" x14ac:dyDescent="0.25">
      <c r="B325" s="6" t="s">
        <v>613</v>
      </c>
      <c r="C325" s="15" t="s">
        <v>700</v>
      </c>
      <c r="D325" s="7" t="s">
        <v>663</v>
      </c>
      <c r="E325" s="2" t="s">
        <v>509</v>
      </c>
      <c r="F325" s="7" t="s">
        <v>706</v>
      </c>
      <c r="G325" s="11">
        <f>9179-517+563</f>
        <v>9225</v>
      </c>
      <c r="H325" s="17">
        <f t="shared" si="24"/>
        <v>9686.25</v>
      </c>
      <c r="I325" s="17">
        <f t="shared" si="25"/>
        <v>10170.5625</v>
      </c>
      <c r="J325" s="112">
        <f t="shared" si="26"/>
        <v>10984.2075</v>
      </c>
      <c r="K325" s="112">
        <f t="shared" si="22"/>
        <v>12192.470325000002</v>
      </c>
      <c r="L325" s="17">
        <f t="shared" si="23"/>
        <v>7266.7123137000008</v>
      </c>
      <c r="M325" t="s">
        <v>4001</v>
      </c>
    </row>
    <row r="326" spans="1:13" x14ac:dyDescent="0.25">
      <c r="B326" s="6" t="s">
        <v>614</v>
      </c>
      <c r="C326" s="15" t="s">
        <v>700</v>
      </c>
      <c r="D326" s="7" t="s">
        <v>664</v>
      </c>
      <c r="E326" s="2" t="s">
        <v>510</v>
      </c>
      <c r="F326" s="7" t="s">
        <v>706</v>
      </c>
      <c r="G326" s="11">
        <f>9429-517+563</f>
        <v>9475</v>
      </c>
      <c r="H326" s="17">
        <f t="shared" si="24"/>
        <v>9948.75</v>
      </c>
      <c r="I326" s="17">
        <f t="shared" si="25"/>
        <v>10446.1875</v>
      </c>
      <c r="J326" s="112">
        <f t="shared" si="26"/>
        <v>11281.882500000002</v>
      </c>
      <c r="K326" s="112">
        <f t="shared" si="22"/>
        <v>12522.889575000003</v>
      </c>
      <c r="L326" s="17">
        <f t="shared" si="23"/>
        <v>7463.6421867000017</v>
      </c>
      <c r="M326" t="s">
        <v>4001</v>
      </c>
    </row>
    <row r="327" spans="1:13" x14ac:dyDescent="0.25">
      <c r="B327" s="6" t="s">
        <v>615</v>
      </c>
      <c r="C327" s="15" t="s">
        <v>700</v>
      </c>
      <c r="D327" s="7" t="s">
        <v>665</v>
      </c>
      <c r="E327" s="2" t="s">
        <v>511</v>
      </c>
      <c r="F327" s="7" t="s">
        <v>706</v>
      </c>
      <c r="G327" s="11">
        <f>9677-517+563</f>
        <v>9723</v>
      </c>
      <c r="H327" s="17">
        <f t="shared" si="24"/>
        <v>10209.15</v>
      </c>
      <c r="I327" s="17">
        <f t="shared" si="25"/>
        <v>10719.6075</v>
      </c>
      <c r="J327" s="112">
        <f t="shared" si="26"/>
        <v>11577.176100000001</v>
      </c>
      <c r="K327" s="112">
        <f t="shared" si="22"/>
        <v>12850.665471000002</v>
      </c>
      <c r="L327" s="17">
        <f t="shared" si="23"/>
        <v>7658.9966207160005</v>
      </c>
      <c r="M327" t="s">
        <v>4001</v>
      </c>
    </row>
    <row r="328" spans="1:13" x14ac:dyDescent="0.25">
      <c r="B328" s="6" t="s">
        <v>616</v>
      </c>
      <c r="C328" s="15" t="s">
        <v>700</v>
      </c>
      <c r="D328" s="7" t="s">
        <v>666</v>
      </c>
      <c r="E328" s="2" t="s">
        <v>512</v>
      </c>
      <c r="F328" s="7" t="s">
        <v>706</v>
      </c>
      <c r="G328" s="11">
        <f>9926-517+563</f>
        <v>9972</v>
      </c>
      <c r="H328" s="17">
        <f t="shared" si="24"/>
        <v>10470.6</v>
      </c>
      <c r="I328" s="17">
        <f t="shared" si="25"/>
        <v>10994.130000000001</v>
      </c>
      <c r="J328" s="112">
        <f t="shared" si="26"/>
        <v>11873.660400000002</v>
      </c>
      <c r="K328" s="112">
        <f t="shared" si="22"/>
        <v>13179.763044000005</v>
      </c>
      <c r="L328" s="17">
        <f t="shared" si="23"/>
        <v>7855.1387742240022</v>
      </c>
      <c r="M328" t="s">
        <v>4001</v>
      </c>
    </row>
    <row r="329" spans="1:13" x14ac:dyDescent="0.25">
      <c r="B329" s="6" t="s">
        <v>617</v>
      </c>
      <c r="C329" s="15" t="s">
        <v>700</v>
      </c>
      <c r="D329" s="7" t="s">
        <v>667</v>
      </c>
      <c r="E329" s="2" t="s">
        <v>513</v>
      </c>
      <c r="F329" s="7" t="s">
        <v>706</v>
      </c>
      <c r="G329" s="11">
        <f>10176-517+563</f>
        <v>10222</v>
      </c>
      <c r="H329" s="17">
        <f t="shared" si="24"/>
        <v>10733.1</v>
      </c>
      <c r="I329" s="17">
        <f t="shared" si="25"/>
        <v>11269.755000000001</v>
      </c>
      <c r="J329" s="112">
        <f t="shared" si="26"/>
        <v>12171.335400000002</v>
      </c>
      <c r="K329" s="112">
        <f t="shared" si="22"/>
        <v>13510.182294000004</v>
      </c>
      <c r="L329" s="17">
        <f t="shared" si="23"/>
        <v>8052.0686472240022</v>
      </c>
      <c r="M329" t="s">
        <v>4001</v>
      </c>
    </row>
    <row r="330" spans="1:13" x14ac:dyDescent="0.25">
      <c r="B330" s="6" t="s">
        <v>618</v>
      </c>
      <c r="C330" s="15" t="s">
        <v>700</v>
      </c>
      <c r="D330" s="7" t="s">
        <v>668</v>
      </c>
      <c r="E330" s="2" t="s">
        <v>514</v>
      </c>
      <c r="F330" s="7" t="s">
        <v>706</v>
      </c>
      <c r="G330" s="11">
        <f>10424-517+563</f>
        <v>10470</v>
      </c>
      <c r="H330" s="17">
        <f t="shared" si="24"/>
        <v>10993.5</v>
      </c>
      <c r="I330" s="17">
        <f t="shared" si="25"/>
        <v>11543.175000000001</v>
      </c>
      <c r="J330" s="112">
        <f t="shared" si="26"/>
        <v>12466.629000000003</v>
      </c>
      <c r="K330" s="112">
        <f t="shared" si="22"/>
        <v>13837.958190000005</v>
      </c>
      <c r="L330" s="17">
        <f t="shared" si="23"/>
        <v>8247.4230812400019</v>
      </c>
      <c r="M330" t="s">
        <v>4001</v>
      </c>
    </row>
    <row r="331" spans="1:13" x14ac:dyDescent="0.25">
      <c r="B331" s="6" t="s">
        <v>619</v>
      </c>
      <c r="C331" s="15" t="s">
        <v>700</v>
      </c>
      <c r="D331" s="7" t="s">
        <v>669</v>
      </c>
      <c r="E331" s="2" t="s">
        <v>515</v>
      </c>
      <c r="F331" s="7" t="s">
        <v>706</v>
      </c>
      <c r="G331" s="11">
        <f>10674-517+563</f>
        <v>10720</v>
      </c>
      <c r="H331" s="17">
        <f t="shared" si="24"/>
        <v>11256</v>
      </c>
      <c r="I331" s="17">
        <f t="shared" si="25"/>
        <v>11818.800000000001</v>
      </c>
      <c r="J331" s="112">
        <f t="shared" si="26"/>
        <v>12764.304000000002</v>
      </c>
      <c r="K331" s="112">
        <f t="shared" si="22"/>
        <v>14168.377440000004</v>
      </c>
      <c r="L331" s="17">
        <f t="shared" si="23"/>
        <v>8444.3529542400011</v>
      </c>
      <c r="M331" t="s">
        <v>4001</v>
      </c>
    </row>
    <row r="332" spans="1:13" x14ac:dyDescent="0.25">
      <c r="B332" s="6" t="s">
        <v>620</v>
      </c>
      <c r="C332" s="15" t="s">
        <v>700</v>
      </c>
      <c r="D332" s="7" t="s">
        <v>670</v>
      </c>
      <c r="E332" s="2" t="s">
        <v>516</v>
      </c>
      <c r="F332" s="7" t="s">
        <v>706</v>
      </c>
      <c r="G332" s="11">
        <f>10923-517+563</f>
        <v>10969</v>
      </c>
      <c r="H332" s="17">
        <f t="shared" si="24"/>
        <v>11517.45</v>
      </c>
      <c r="I332" s="17">
        <f t="shared" si="25"/>
        <v>12093.322500000002</v>
      </c>
      <c r="J332" s="112">
        <f t="shared" si="26"/>
        <v>13060.788300000004</v>
      </c>
      <c r="K332" s="112">
        <f t="shared" si="22"/>
        <v>14497.475013000005</v>
      </c>
      <c r="L332" s="17">
        <f t="shared" si="23"/>
        <v>8640.4951077480018</v>
      </c>
      <c r="M332" t="s">
        <v>4001</v>
      </c>
    </row>
    <row r="333" spans="1:13" x14ac:dyDescent="0.25">
      <c r="B333" s="6" t="s">
        <v>621</v>
      </c>
      <c r="C333" s="15" t="s">
        <v>700</v>
      </c>
      <c r="D333" s="7" t="s">
        <v>671</v>
      </c>
      <c r="E333" s="2" t="s">
        <v>517</v>
      </c>
      <c r="F333" s="7" t="s">
        <v>706</v>
      </c>
      <c r="G333" s="11">
        <f>11172-517+563</f>
        <v>11218</v>
      </c>
      <c r="H333" s="17">
        <f t="shared" si="24"/>
        <v>11778.9</v>
      </c>
      <c r="I333" s="17">
        <f t="shared" si="25"/>
        <v>12367.844999999999</v>
      </c>
      <c r="J333" s="112">
        <f t="shared" si="26"/>
        <v>13357.2726</v>
      </c>
      <c r="K333" s="112">
        <f t="shared" si="22"/>
        <v>14826.572586000002</v>
      </c>
      <c r="L333" s="17">
        <f t="shared" si="23"/>
        <v>8836.6372612560008</v>
      </c>
      <c r="M333" t="s">
        <v>4001</v>
      </c>
    </row>
    <row r="334" spans="1:13" x14ac:dyDescent="0.25">
      <c r="B334" s="6" t="s">
        <v>622</v>
      </c>
      <c r="C334" s="15" t="s">
        <v>700</v>
      </c>
      <c r="D334" s="7" t="s">
        <v>672</v>
      </c>
      <c r="E334" s="2" t="s">
        <v>518</v>
      </c>
      <c r="F334" s="7" t="s">
        <v>706</v>
      </c>
      <c r="G334" s="11">
        <f>11421-517+563</f>
        <v>11467</v>
      </c>
      <c r="H334" s="17">
        <f t="shared" si="24"/>
        <v>12040.35</v>
      </c>
      <c r="I334" s="17">
        <f t="shared" si="25"/>
        <v>12642.3675</v>
      </c>
      <c r="J334" s="112">
        <f t="shared" si="26"/>
        <v>13653.7569</v>
      </c>
      <c r="K334" s="112">
        <f t="shared" si="22"/>
        <v>15155.670159000001</v>
      </c>
      <c r="L334" s="17">
        <f t="shared" si="23"/>
        <v>9032.7794147639997</v>
      </c>
      <c r="M334" t="s">
        <v>4001</v>
      </c>
    </row>
    <row r="335" spans="1:13" x14ac:dyDescent="0.25">
      <c r="B335" s="6" t="s">
        <v>623</v>
      </c>
      <c r="C335" s="15" t="s">
        <v>700</v>
      </c>
      <c r="D335" s="7" t="s">
        <v>673</v>
      </c>
      <c r="E335" s="2" t="s">
        <v>519</v>
      </c>
      <c r="F335" s="7" t="s">
        <v>706</v>
      </c>
      <c r="G335" s="11">
        <f>11671-517+563</f>
        <v>11717</v>
      </c>
      <c r="H335" s="17">
        <f t="shared" si="24"/>
        <v>12302.85</v>
      </c>
      <c r="I335" s="17">
        <f t="shared" si="25"/>
        <v>12917.9925</v>
      </c>
      <c r="J335" s="112">
        <f t="shared" si="26"/>
        <v>13951.431900000001</v>
      </c>
      <c r="K335" s="112">
        <f t="shared" si="22"/>
        <v>15486.089409000004</v>
      </c>
      <c r="L335" s="17">
        <f t="shared" si="23"/>
        <v>9229.7092877640025</v>
      </c>
      <c r="M335" t="s">
        <v>4001</v>
      </c>
    </row>
    <row r="336" spans="1:13" x14ac:dyDescent="0.25">
      <c r="B336" s="6" t="s">
        <v>624</v>
      </c>
      <c r="C336" s="15" t="s">
        <v>700</v>
      </c>
      <c r="D336" s="7" t="s">
        <v>674</v>
      </c>
      <c r="E336" s="2" t="s">
        <v>520</v>
      </c>
      <c r="F336" s="7" t="s">
        <v>707</v>
      </c>
      <c r="G336" s="11">
        <f>8637-517+563</f>
        <v>8683</v>
      </c>
      <c r="H336" s="17">
        <f t="shared" si="24"/>
        <v>9117.15</v>
      </c>
      <c r="I336" s="17">
        <f t="shared" si="25"/>
        <v>9573.0074999999997</v>
      </c>
      <c r="J336" s="112">
        <f t="shared" si="26"/>
        <v>10338.848100000001</v>
      </c>
      <c r="K336" s="112">
        <f t="shared" si="22"/>
        <v>11476.121391000002</v>
      </c>
      <c r="L336" s="17">
        <f t="shared" si="23"/>
        <v>6839.7683490360014</v>
      </c>
      <c r="M336" t="s">
        <v>4001</v>
      </c>
    </row>
    <row r="337" spans="2:13" x14ac:dyDescent="0.25">
      <c r="B337" s="6" t="s">
        <v>625</v>
      </c>
      <c r="C337" s="15" t="s">
        <v>700</v>
      </c>
      <c r="D337" s="7" t="s">
        <v>675</v>
      </c>
      <c r="E337" s="2" t="s">
        <v>521</v>
      </c>
      <c r="F337" s="7" t="s">
        <v>707</v>
      </c>
      <c r="G337" s="11">
        <f>9718-517+563</f>
        <v>9764</v>
      </c>
      <c r="H337" s="17">
        <f t="shared" si="24"/>
        <v>10252.200000000001</v>
      </c>
      <c r="I337" s="17">
        <f t="shared" si="25"/>
        <v>10764.810000000001</v>
      </c>
      <c r="J337" s="112">
        <f t="shared" si="26"/>
        <v>11625.994800000002</v>
      </c>
      <c r="K337" s="112">
        <f t="shared" si="22"/>
        <v>12904.854228000004</v>
      </c>
      <c r="L337" s="17">
        <f t="shared" si="23"/>
        <v>7691.2931198880024</v>
      </c>
      <c r="M337" t="s">
        <v>4001</v>
      </c>
    </row>
    <row r="338" spans="2:13" x14ac:dyDescent="0.25">
      <c r="B338" s="6" t="s">
        <v>626</v>
      </c>
      <c r="C338" s="15" t="s">
        <v>700</v>
      </c>
      <c r="D338" s="7" t="s">
        <v>676</v>
      </c>
      <c r="E338" s="2" t="s">
        <v>522</v>
      </c>
      <c r="F338" s="7" t="s">
        <v>708</v>
      </c>
      <c r="G338" s="11">
        <f>9995-517+563</f>
        <v>10041</v>
      </c>
      <c r="H338" s="17">
        <f t="shared" si="24"/>
        <v>10543.050000000001</v>
      </c>
      <c r="I338" s="17">
        <f t="shared" si="25"/>
        <v>11070.202500000001</v>
      </c>
      <c r="J338" s="112">
        <f t="shared" si="26"/>
        <v>11955.818700000002</v>
      </c>
      <c r="K338" s="112">
        <f t="shared" si="22"/>
        <v>13270.958757000002</v>
      </c>
      <c r="L338" s="17">
        <f t="shared" si="23"/>
        <v>7909.4914191720009</v>
      </c>
      <c r="M338" t="s">
        <v>4001</v>
      </c>
    </row>
    <row r="339" spans="2:13" x14ac:dyDescent="0.25">
      <c r="B339" s="6" t="s">
        <v>627</v>
      </c>
      <c r="C339" s="15" t="s">
        <v>700</v>
      </c>
      <c r="D339" s="7" t="s">
        <v>677</v>
      </c>
      <c r="E339" s="2" t="s">
        <v>523</v>
      </c>
      <c r="F339" s="7" t="s">
        <v>708</v>
      </c>
      <c r="G339" s="11">
        <f>10272-517+563</f>
        <v>10318</v>
      </c>
      <c r="H339" s="17">
        <f t="shared" si="24"/>
        <v>10833.9</v>
      </c>
      <c r="I339" s="17">
        <f t="shared" si="25"/>
        <v>11375.594999999999</v>
      </c>
      <c r="J339" s="112">
        <f t="shared" si="26"/>
        <v>12285.642599999999</v>
      </c>
      <c r="K339" s="112">
        <f t="shared" si="22"/>
        <v>13637.063286000001</v>
      </c>
      <c r="L339" s="17">
        <f t="shared" si="23"/>
        <v>8127.6897184560003</v>
      </c>
      <c r="M339" t="s">
        <v>4001</v>
      </c>
    </row>
    <row r="340" spans="2:13" x14ac:dyDescent="0.25">
      <c r="B340" s="6" t="s">
        <v>628</v>
      </c>
      <c r="C340" s="15" t="s">
        <v>700</v>
      </c>
      <c r="D340" s="7" t="s">
        <v>678</v>
      </c>
      <c r="E340" s="2" t="s">
        <v>524</v>
      </c>
      <c r="F340" s="7" t="s">
        <v>708</v>
      </c>
      <c r="G340" s="11">
        <f>10549-517+563</f>
        <v>10595</v>
      </c>
      <c r="H340" s="17">
        <f t="shared" si="24"/>
        <v>11124.75</v>
      </c>
      <c r="I340" s="17">
        <f t="shared" si="25"/>
        <v>11680.987500000001</v>
      </c>
      <c r="J340" s="112">
        <f t="shared" si="26"/>
        <v>12615.466500000002</v>
      </c>
      <c r="K340" s="112">
        <f t="shared" si="22"/>
        <v>14003.167815000004</v>
      </c>
      <c r="L340" s="17">
        <f t="shared" si="23"/>
        <v>8345.8880177400024</v>
      </c>
      <c r="M340" t="s">
        <v>4001</v>
      </c>
    </row>
    <row r="341" spans="2:13" x14ac:dyDescent="0.25">
      <c r="B341" s="6" t="s">
        <v>629</v>
      </c>
      <c r="C341" s="15" t="s">
        <v>700</v>
      </c>
      <c r="D341" s="7" t="s">
        <v>679</v>
      </c>
      <c r="E341" s="2" t="s">
        <v>525</v>
      </c>
      <c r="F341" s="7" t="s">
        <v>708</v>
      </c>
      <c r="G341" s="11">
        <f>10828-517+563</f>
        <v>10874</v>
      </c>
      <c r="H341" s="17">
        <f t="shared" si="24"/>
        <v>11417.7</v>
      </c>
      <c r="I341" s="17">
        <f t="shared" si="25"/>
        <v>11988.585000000001</v>
      </c>
      <c r="J341" s="112">
        <f t="shared" si="26"/>
        <v>12947.671800000002</v>
      </c>
      <c r="K341" s="112">
        <f t="shared" si="22"/>
        <v>14371.915698000003</v>
      </c>
      <c r="L341" s="17">
        <f t="shared" si="23"/>
        <v>8565.6617560080012</v>
      </c>
      <c r="M341" t="s">
        <v>4001</v>
      </c>
    </row>
    <row r="342" spans="2:13" x14ac:dyDescent="0.25">
      <c r="B342" s="6" t="s">
        <v>630</v>
      </c>
      <c r="C342" s="15" t="s">
        <v>700</v>
      </c>
      <c r="D342" s="7" t="s">
        <v>680</v>
      </c>
      <c r="E342" s="2" t="s">
        <v>526</v>
      </c>
      <c r="F342" s="7" t="s">
        <v>708</v>
      </c>
      <c r="G342" s="11">
        <f>11105-517+563</f>
        <v>11151</v>
      </c>
      <c r="H342" s="17">
        <f t="shared" si="24"/>
        <v>11708.550000000001</v>
      </c>
      <c r="I342" s="17">
        <f t="shared" si="25"/>
        <v>12293.977500000001</v>
      </c>
      <c r="J342" s="112">
        <f t="shared" si="26"/>
        <v>13277.495700000001</v>
      </c>
      <c r="K342" s="112">
        <f t="shared" si="22"/>
        <v>14738.020227000003</v>
      </c>
      <c r="L342" s="17">
        <f t="shared" si="23"/>
        <v>8783.8600552920016</v>
      </c>
      <c r="M342" t="s">
        <v>4001</v>
      </c>
    </row>
    <row r="343" spans="2:13" x14ac:dyDescent="0.25">
      <c r="B343" s="6" t="s">
        <v>631</v>
      </c>
      <c r="C343" s="15" t="s">
        <v>700</v>
      </c>
      <c r="D343" s="7" t="s">
        <v>681</v>
      </c>
      <c r="E343" s="2" t="s">
        <v>527</v>
      </c>
      <c r="F343" s="7" t="s">
        <v>708</v>
      </c>
      <c r="G343" s="11">
        <f>11382-517+563</f>
        <v>11428</v>
      </c>
      <c r="H343" s="17">
        <f t="shared" si="24"/>
        <v>11999.4</v>
      </c>
      <c r="I343" s="17">
        <f t="shared" si="25"/>
        <v>12599.37</v>
      </c>
      <c r="J343" s="112">
        <f t="shared" si="26"/>
        <v>13607.319600000003</v>
      </c>
      <c r="K343" s="112">
        <f t="shared" si="22"/>
        <v>15104.124756000005</v>
      </c>
      <c r="L343" s="17">
        <f t="shared" si="23"/>
        <v>9002.0583545760019</v>
      </c>
      <c r="M343" t="s">
        <v>4001</v>
      </c>
    </row>
    <row r="344" spans="2:13" x14ac:dyDescent="0.25">
      <c r="B344" s="6" t="s">
        <v>632</v>
      </c>
      <c r="C344" s="15" t="s">
        <v>700</v>
      </c>
      <c r="D344" s="7" t="s">
        <v>682</v>
      </c>
      <c r="E344" s="2" t="s">
        <v>528</v>
      </c>
      <c r="F344" s="7" t="s">
        <v>708</v>
      </c>
      <c r="G344" s="11">
        <f>11659-517+563</f>
        <v>11705</v>
      </c>
      <c r="H344" s="17">
        <f t="shared" si="24"/>
        <v>12290.25</v>
      </c>
      <c r="I344" s="17">
        <f t="shared" si="25"/>
        <v>12904.762500000001</v>
      </c>
      <c r="J344" s="112">
        <f t="shared" si="26"/>
        <v>13937.143500000002</v>
      </c>
      <c r="K344" s="112">
        <f t="shared" si="22"/>
        <v>15470.229285000003</v>
      </c>
      <c r="L344" s="17">
        <f t="shared" si="23"/>
        <v>9220.2566538600022</v>
      </c>
      <c r="M344" t="s">
        <v>4001</v>
      </c>
    </row>
    <row r="345" spans="2:13" x14ac:dyDescent="0.25">
      <c r="B345" s="6" t="s">
        <v>633</v>
      </c>
      <c r="C345" s="15" t="s">
        <v>700</v>
      </c>
      <c r="D345" s="7" t="s">
        <v>683</v>
      </c>
      <c r="E345" s="2" t="s">
        <v>529</v>
      </c>
      <c r="F345" s="7" t="s">
        <v>708</v>
      </c>
      <c r="G345" s="11">
        <f>11938-517+563</f>
        <v>11984</v>
      </c>
      <c r="H345" s="17">
        <f t="shared" si="24"/>
        <v>12583.2</v>
      </c>
      <c r="I345" s="17">
        <f t="shared" si="25"/>
        <v>13212.36</v>
      </c>
      <c r="J345" s="112">
        <f t="shared" si="26"/>
        <v>14269.348800000002</v>
      </c>
      <c r="K345" s="112">
        <f t="shared" si="22"/>
        <v>15838.977168000003</v>
      </c>
      <c r="L345" s="17">
        <f t="shared" si="23"/>
        <v>9440.030392128001</v>
      </c>
      <c r="M345" t="s">
        <v>4001</v>
      </c>
    </row>
    <row r="346" spans="2:13" x14ac:dyDescent="0.25">
      <c r="B346" s="6" t="s">
        <v>634</v>
      </c>
      <c r="C346" s="15" t="s">
        <v>700</v>
      </c>
      <c r="D346" s="7" t="s">
        <v>684</v>
      </c>
      <c r="E346" s="2" t="s">
        <v>530</v>
      </c>
      <c r="F346" s="7" t="s">
        <v>708</v>
      </c>
      <c r="G346" s="11">
        <f>12215-517+563</f>
        <v>12261</v>
      </c>
      <c r="H346" s="17">
        <f t="shared" si="24"/>
        <v>12874.050000000001</v>
      </c>
      <c r="I346" s="17">
        <f t="shared" si="25"/>
        <v>13517.752500000002</v>
      </c>
      <c r="J346" s="112">
        <f t="shared" si="26"/>
        <v>14599.172700000003</v>
      </c>
      <c r="K346" s="112">
        <f t="shared" si="22"/>
        <v>16205.081697000005</v>
      </c>
      <c r="L346" s="17">
        <f t="shared" si="23"/>
        <v>9658.2286914120032</v>
      </c>
      <c r="M346" t="s">
        <v>4001</v>
      </c>
    </row>
    <row r="347" spans="2:13" x14ac:dyDescent="0.25">
      <c r="B347" s="6" t="s">
        <v>635</v>
      </c>
      <c r="C347" s="15" t="s">
        <v>700</v>
      </c>
      <c r="D347" s="7" t="s">
        <v>685</v>
      </c>
      <c r="E347" s="2" t="s">
        <v>531</v>
      </c>
      <c r="F347" s="7" t="s">
        <v>708</v>
      </c>
      <c r="G347" s="11">
        <f>12492-517+563</f>
        <v>12538</v>
      </c>
      <c r="H347" s="17">
        <f t="shared" si="24"/>
        <v>13164.900000000001</v>
      </c>
      <c r="I347" s="17">
        <f t="shared" si="25"/>
        <v>13823.145000000002</v>
      </c>
      <c r="J347" s="112">
        <f t="shared" si="26"/>
        <v>14928.996600000004</v>
      </c>
      <c r="K347" s="112">
        <f t="shared" si="22"/>
        <v>16571.186226000005</v>
      </c>
      <c r="L347" s="17">
        <f t="shared" si="23"/>
        <v>9876.4269906960035</v>
      </c>
      <c r="M347" t="s">
        <v>4001</v>
      </c>
    </row>
    <row r="348" spans="2:13" x14ac:dyDescent="0.25">
      <c r="B348" s="6" t="s">
        <v>636</v>
      </c>
      <c r="C348" s="15" t="s">
        <v>700</v>
      </c>
      <c r="D348" s="7" t="s">
        <v>686</v>
      </c>
      <c r="E348" s="2" t="s">
        <v>532</v>
      </c>
      <c r="F348" s="7" t="s">
        <v>708</v>
      </c>
      <c r="G348" s="11">
        <f>12769-517+563</f>
        <v>12815</v>
      </c>
      <c r="H348" s="17">
        <f t="shared" si="24"/>
        <v>13455.75</v>
      </c>
      <c r="I348" s="17">
        <f t="shared" si="25"/>
        <v>14128.5375</v>
      </c>
      <c r="J348" s="112">
        <f t="shared" si="26"/>
        <v>15258.820500000002</v>
      </c>
      <c r="K348" s="112">
        <f t="shared" si="22"/>
        <v>16937.290755000002</v>
      </c>
      <c r="L348" s="17">
        <f t="shared" si="23"/>
        <v>10094.62528998</v>
      </c>
      <c r="M348" t="s">
        <v>4001</v>
      </c>
    </row>
    <row r="349" spans="2:13" x14ac:dyDescent="0.25">
      <c r="B349" s="6" t="s">
        <v>637</v>
      </c>
      <c r="C349" s="15" t="s">
        <v>700</v>
      </c>
      <c r="D349" s="7" t="s">
        <v>687</v>
      </c>
      <c r="E349" s="2" t="s">
        <v>533</v>
      </c>
      <c r="F349" s="7" t="s">
        <v>707</v>
      </c>
      <c r="G349" s="11">
        <f>9268-517+563</f>
        <v>9314</v>
      </c>
      <c r="H349" s="17">
        <f t="shared" si="24"/>
        <v>9779.7000000000007</v>
      </c>
      <c r="I349" s="17">
        <f t="shared" si="25"/>
        <v>10268.685000000001</v>
      </c>
      <c r="J349" s="112">
        <f t="shared" si="26"/>
        <v>11090.179800000002</v>
      </c>
      <c r="K349" s="112">
        <f t="shared" si="22"/>
        <v>12310.099578000003</v>
      </c>
      <c r="L349" s="17">
        <f t="shared" si="23"/>
        <v>7336.8193484880012</v>
      </c>
      <c r="M349" t="s">
        <v>4001</v>
      </c>
    </row>
    <row r="350" spans="2:13" x14ac:dyDescent="0.25">
      <c r="B350" s="6" t="s">
        <v>638</v>
      </c>
      <c r="C350" s="15" t="s">
        <v>700</v>
      </c>
      <c r="D350" s="7" t="s">
        <v>688</v>
      </c>
      <c r="E350" s="2" t="s">
        <v>534</v>
      </c>
      <c r="F350" s="7" t="s">
        <v>707</v>
      </c>
      <c r="G350" s="11">
        <f>10380-517+563</f>
        <v>10426</v>
      </c>
      <c r="H350" s="17">
        <f t="shared" si="24"/>
        <v>10947.300000000001</v>
      </c>
      <c r="I350" s="17">
        <f t="shared" si="25"/>
        <v>11494.665000000001</v>
      </c>
      <c r="J350" s="112">
        <f t="shared" si="26"/>
        <v>12414.238200000002</v>
      </c>
      <c r="K350" s="112">
        <f t="shared" si="22"/>
        <v>13779.804402000003</v>
      </c>
      <c r="L350" s="17">
        <f t="shared" si="23"/>
        <v>8212.7634235920013</v>
      </c>
      <c r="M350" t="s">
        <v>4001</v>
      </c>
    </row>
    <row r="351" spans="2:13" x14ac:dyDescent="0.25">
      <c r="B351" s="6" t="s">
        <v>639</v>
      </c>
      <c r="C351" s="15" t="s">
        <v>700</v>
      </c>
      <c r="D351" s="7" t="s">
        <v>689</v>
      </c>
      <c r="E351" s="2" t="s">
        <v>535</v>
      </c>
      <c r="F351" s="7" t="s">
        <v>708</v>
      </c>
      <c r="G351" s="11">
        <f>10689-517+563</f>
        <v>10735</v>
      </c>
      <c r="H351" s="17">
        <f t="shared" si="24"/>
        <v>11271.75</v>
      </c>
      <c r="I351" s="17">
        <f t="shared" si="25"/>
        <v>11835.3375</v>
      </c>
      <c r="J351" s="112">
        <f t="shared" si="26"/>
        <v>12782.164500000001</v>
      </c>
      <c r="K351" s="112">
        <f t="shared" si="22"/>
        <v>14188.202595000002</v>
      </c>
      <c r="L351" s="17">
        <f t="shared" si="23"/>
        <v>8456.1687466200019</v>
      </c>
      <c r="M351" t="s">
        <v>4001</v>
      </c>
    </row>
    <row r="352" spans="2:13" x14ac:dyDescent="0.25">
      <c r="B352" s="6" t="s">
        <v>640</v>
      </c>
      <c r="C352" s="15" t="s">
        <v>700</v>
      </c>
      <c r="D352" s="7" t="s">
        <v>690</v>
      </c>
      <c r="E352" s="2" t="s">
        <v>536</v>
      </c>
      <c r="F352" s="7" t="s">
        <v>708</v>
      </c>
      <c r="G352" s="11">
        <f>10998-517+563</f>
        <v>11044</v>
      </c>
      <c r="H352" s="17">
        <f t="shared" si="24"/>
        <v>11596.2</v>
      </c>
      <c r="I352" s="17">
        <f t="shared" si="25"/>
        <v>12176.010000000002</v>
      </c>
      <c r="J352" s="112">
        <f t="shared" si="26"/>
        <v>13150.090800000004</v>
      </c>
      <c r="K352" s="112">
        <f t="shared" si="22"/>
        <v>14596.600788000005</v>
      </c>
      <c r="L352" s="17">
        <f t="shared" si="23"/>
        <v>8699.5740696480025</v>
      </c>
      <c r="M352" t="s">
        <v>4001</v>
      </c>
    </row>
    <row r="353" spans="1:13" x14ac:dyDescent="0.25">
      <c r="B353" s="6" t="s">
        <v>641</v>
      </c>
      <c r="C353" s="15" t="s">
        <v>700</v>
      </c>
      <c r="D353" s="7" t="s">
        <v>691</v>
      </c>
      <c r="E353" s="2" t="s">
        <v>537</v>
      </c>
      <c r="F353" s="7" t="s">
        <v>708</v>
      </c>
      <c r="G353" s="11">
        <f>11307-517+563</f>
        <v>11353</v>
      </c>
      <c r="H353" s="17">
        <f t="shared" si="24"/>
        <v>11920.65</v>
      </c>
      <c r="I353" s="17">
        <f t="shared" si="25"/>
        <v>12516.682500000001</v>
      </c>
      <c r="J353" s="112">
        <f t="shared" si="26"/>
        <v>13518.017100000001</v>
      </c>
      <c r="K353" s="112">
        <f t="shared" si="22"/>
        <v>15004.998981000002</v>
      </c>
      <c r="L353" s="17">
        <f t="shared" si="23"/>
        <v>8942.9793926760012</v>
      </c>
      <c r="M353" t="s">
        <v>4001</v>
      </c>
    </row>
    <row r="354" spans="1:13" x14ac:dyDescent="0.25">
      <c r="B354" s="6" t="s">
        <v>642</v>
      </c>
      <c r="C354" s="15" t="s">
        <v>700</v>
      </c>
      <c r="D354" s="7" t="s">
        <v>692</v>
      </c>
      <c r="E354" s="2" t="s">
        <v>538</v>
      </c>
      <c r="F354" s="7" t="s">
        <v>708</v>
      </c>
      <c r="G354" s="11">
        <f>11615-517+563</f>
        <v>11661</v>
      </c>
      <c r="H354" s="17">
        <f t="shared" si="24"/>
        <v>12244.050000000001</v>
      </c>
      <c r="I354" s="17">
        <f t="shared" si="25"/>
        <v>12856.252500000002</v>
      </c>
      <c r="J354" s="112">
        <f t="shared" si="26"/>
        <v>13884.752700000003</v>
      </c>
      <c r="K354" s="112">
        <f t="shared" si="22"/>
        <v>15412.075497000005</v>
      </c>
      <c r="L354" s="17">
        <f t="shared" si="23"/>
        <v>9185.5969962120034</v>
      </c>
      <c r="M354" t="s">
        <v>4001</v>
      </c>
    </row>
    <row r="355" spans="1:13" x14ac:dyDescent="0.25">
      <c r="B355" s="6" t="s">
        <v>643</v>
      </c>
      <c r="C355" s="15" t="s">
        <v>700</v>
      </c>
      <c r="D355" s="7" t="s">
        <v>693</v>
      </c>
      <c r="E355" s="2" t="s">
        <v>539</v>
      </c>
      <c r="F355" s="7" t="s">
        <v>708</v>
      </c>
      <c r="G355" s="11">
        <f>11925-517+563</f>
        <v>11971</v>
      </c>
      <c r="H355" s="17">
        <f t="shared" si="24"/>
        <v>12569.550000000001</v>
      </c>
      <c r="I355" s="17">
        <f t="shared" si="25"/>
        <v>13198.027500000002</v>
      </c>
      <c r="J355" s="112">
        <f t="shared" si="26"/>
        <v>14253.869700000003</v>
      </c>
      <c r="K355" s="112">
        <f t="shared" si="22"/>
        <v>15821.795367000004</v>
      </c>
      <c r="L355" s="17">
        <f t="shared" si="23"/>
        <v>9429.7900387320024</v>
      </c>
      <c r="M355" t="s">
        <v>4001</v>
      </c>
    </row>
    <row r="356" spans="1:13" x14ac:dyDescent="0.25">
      <c r="B356" s="6" t="s">
        <v>644</v>
      </c>
      <c r="C356" s="15" t="s">
        <v>700</v>
      </c>
      <c r="D356" s="7" t="s">
        <v>694</v>
      </c>
      <c r="E356" s="2" t="s">
        <v>540</v>
      </c>
      <c r="F356" s="7" t="s">
        <v>708</v>
      </c>
      <c r="G356" s="11">
        <f>12286-517+563</f>
        <v>12332</v>
      </c>
      <c r="H356" s="17">
        <f t="shared" si="24"/>
        <v>12948.6</v>
      </c>
      <c r="I356" s="17">
        <f t="shared" si="25"/>
        <v>13596.03</v>
      </c>
      <c r="J356" s="112">
        <f t="shared" si="26"/>
        <v>14683.712400000002</v>
      </c>
      <c r="K356" s="112">
        <f t="shared" si="22"/>
        <v>16298.920764000004</v>
      </c>
      <c r="L356" s="17">
        <f t="shared" si="23"/>
        <v>9714.1567753440013</v>
      </c>
      <c r="M356" t="s">
        <v>4001</v>
      </c>
    </row>
    <row r="357" spans="1:13" x14ac:dyDescent="0.25">
      <c r="B357" s="6" t="s">
        <v>645</v>
      </c>
      <c r="C357" s="15" t="s">
        <v>700</v>
      </c>
      <c r="D357" s="7" t="s">
        <v>695</v>
      </c>
      <c r="E357" s="2" t="s">
        <v>541</v>
      </c>
      <c r="F357" s="7" t="s">
        <v>708</v>
      </c>
      <c r="G357" s="11">
        <f>12541-517+563</f>
        <v>12587</v>
      </c>
      <c r="H357" s="17">
        <f t="shared" si="24"/>
        <v>13216.35</v>
      </c>
      <c r="I357" s="17">
        <f t="shared" si="25"/>
        <v>13877.167500000001</v>
      </c>
      <c r="J357" s="112">
        <f t="shared" si="26"/>
        <v>14987.340900000003</v>
      </c>
      <c r="K357" s="112">
        <f t="shared" si="22"/>
        <v>16635.948399000004</v>
      </c>
      <c r="L357" s="17">
        <f t="shared" si="23"/>
        <v>9915.0252458040013</v>
      </c>
      <c r="M357" t="s">
        <v>4001</v>
      </c>
    </row>
    <row r="358" spans="1:13" x14ac:dyDescent="0.25">
      <c r="B358" s="6" t="s">
        <v>646</v>
      </c>
      <c r="C358" s="15" t="s">
        <v>700</v>
      </c>
      <c r="D358" s="7" t="s">
        <v>696</v>
      </c>
      <c r="E358" s="2" t="s">
        <v>542</v>
      </c>
      <c r="F358" s="7" t="s">
        <v>708</v>
      </c>
      <c r="G358" s="11">
        <f>12851-517+563</f>
        <v>12897</v>
      </c>
      <c r="H358" s="17">
        <f t="shared" si="24"/>
        <v>13541.85</v>
      </c>
      <c r="I358" s="17">
        <f t="shared" si="25"/>
        <v>14218.942500000001</v>
      </c>
      <c r="J358" s="112">
        <f t="shared" si="26"/>
        <v>15356.457900000001</v>
      </c>
      <c r="K358" s="112">
        <f t="shared" si="22"/>
        <v>17045.668269000002</v>
      </c>
      <c r="L358" s="17">
        <f t="shared" si="23"/>
        <v>10159.218288324</v>
      </c>
      <c r="M358" t="s">
        <v>4001</v>
      </c>
    </row>
    <row r="359" spans="1:13" x14ac:dyDescent="0.25">
      <c r="B359" s="6" t="s">
        <v>647</v>
      </c>
      <c r="C359" s="15" t="s">
        <v>700</v>
      </c>
      <c r="D359" s="7" t="s">
        <v>697</v>
      </c>
      <c r="E359" s="2" t="s">
        <v>543</v>
      </c>
      <c r="F359" s="7" t="s">
        <v>708</v>
      </c>
      <c r="G359" s="11">
        <f>13161-517+563</f>
        <v>13207</v>
      </c>
      <c r="H359" s="17">
        <f t="shared" si="24"/>
        <v>13867.35</v>
      </c>
      <c r="I359" s="17">
        <f t="shared" si="25"/>
        <v>14560.717500000001</v>
      </c>
      <c r="J359" s="112">
        <f t="shared" si="26"/>
        <v>15725.574900000001</v>
      </c>
      <c r="K359" s="112">
        <f t="shared" si="22"/>
        <v>17455.388139000002</v>
      </c>
      <c r="L359" s="17">
        <f t="shared" si="23"/>
        <v>10403.411330844001</v>
      </c>
      <c r="M359" t="s">
        <v>4001</v>
      </c>
    </row>
    <row r="360" spans="1:13" x14ac:dyDescent="0.25">
      <c r="B360" s="6" t="s">
        <v>648</v>
      </c>
      <c r="C360" s="15" t="s">
        <v>700</v>
      </c>
      <c r="D360" s="7" t="s">
        <v>698</v>
      </c>
      <c r="E360" s="2" t="s">
        <v>544</v>
      </c>
      <c r="F360" s="7" t="s">
        <v>708</v>
      </c>
      <c r="G360" s="11">
        <f>13470-517+563</f>
        <v>13516</v>
      </c>
      <c r="H360" s="17">
        <f t="shared" si="24"/>
        <v>14191.800000000001</v>
      </c>
      <c r="I360" s="17">
        <f t="shared" si="25"/>
        <v>14901.390000000001</v>
      </c>
      <c r="J360" s="112">
        <f t="shared" si="26"/>
        <v>16093.501200000002</v>
      </c>
      <c r="K360" s="112">
        <f t="shared" si="22"/>
        <v>17863.786332000003</v>
      </c>
      <c r="L360" s="17">
        <f t="shared" si="23"/>
        <v>10646.816653872002</v>
      </c>
      <c r="M360" t="s">
        <v>4001</v>
      </c>
    </row>
    <row r="361" spans="1:13" x14ac:dyDescent="0.25">
      <c r="B361" s="6" t="s">
        <v>649</v>
      </c>
      <c r="C361" s="15" t="s">
        <v>700</v>
      </c>
      <c r="D361" s="7" t="s">
        <v>699</v>
      </c>
      <c r="E361" s="2" t="s">
        <v>545</v>
      </c>
      <c r="F361" s="7" t="s">
        <v>708</v>
      </c>
      <c r="G361" s="11">
        <f>13779-517+563</f>
        <v>13825</v>
      </c>
      <c r="H361" s="17">
        <f t="shared" si="24"/>
        <v>14516.25</v>
      </c>
      <c r="I361" s="17">
        <f t="shared" si="25"/>
        <v>15242.0625</v>
      </c>
      <c r="J361" s="112">
        <f t="shared" si="26"/>
        <v>16461.427500000002</v>
      </c>
      <c r="K361" s="112">
        <f t="shared" si="22"/>
        <v>18272.184525000004</v>
      </c>
      <c r="L361" s="17">
        <f t="shared" si="23"/>
        <v>10890.221976900002</v>
      </c>
      <c r="M361" t="s">
        <v>4001</v>
      </c>
    </row>
    <row r="362" spans="1:13" s="62" customFormat="1" x14ac:dyDescent="0.25">
      <c r="A362" s="62" t="s">
        <v>2913</v>
      </c>
      <c r="B362" s="75" t="s">
        <v>2903</v>
      </c>
      <c r="C362" s="68"/>
      <c r="D362" s="63"/>
      <c r="E362" s="64"/>
      <c r="F362" s="63"/>
      <c r="G362" s="65"/>
      <c r="H362" s="17"/>
      <c r="I362" s="17">
        <f t="shared" si="25"/>
        <v>0</v>
      </c>
      <c r="J362" s="113"/>
      <c r="K362" s="70"/>
      <c r="L362" s="70"/>
    </row>
    <row r="363" spans="1:13" x14ac:dyDescent="0.25">
      <c r="A363" s="4"/>
      <c r="B363" s="6" t="s">
        <v>760</v>
      </c>
      <c r="C363" s="15" t="s">
        <v>264</v>
      </c>
      <c r="D363" s="7" t="s">
        <v>251</v>
      </c>
      <c r="E363" s="2" t="s">
        <v>185</v>
      </c>
      <c r="F363" s="7" t="s">
        <v>702</v>
      </c>
      <c r="G363" s="23">
        <f>4799+2*671+2*225+2*517-517+563</f>
        <v>7671</v>
      </c>
      <c r="H363" s="17">
        <f t="shared" si="24"/>
        <v>8054.55</v>
      </c>
      <c r="I363" s="17">
        <f t="shared" si="25"/>
        <v>8457.2775000000001</v>
      </c>
      <c r="J363" s="112">
        <f t="shared" si="26"/>
        <v>9133.8597000000009</v>
      </c>
      <c r="K363" s="112">
        <v>9133.8597000000009</v>
      </c>
      <c r="L363" s="17">
        <f t="shared" si="23"/>
        <v>5443.7803812000002</v>
      </c>
      <c r="M363" t="s">
        <v>3246</v>
      </c>
    </row>
    <row r="364" spans="1:13" x14ac:dyDescent="0.25">
      <c r="A364" s="30"/>
      <c r="B364" s="6" t="s">
        <v>761</v>
      </c>
      <c r="C364" s="15" t="s">
        <v>264</v>
      </c>
      <c r="D364" s="7" t="s">
        <v>864</v>
      </c>
      <c r="E364" s="2" t="s">
        <v>709</v>
      </c>
      <c r="F364" s="7" t="s">
        <v>702</v>
      </c>
      <c r="G364" s="23">
        <f>5039+3*671+2*225+2*517-517+563</f>
        <v>8582</v>
      </c>
      <c r="H364" s="17">
        <f t="shared" si="24"/>
        <v>9011.1</v>
      </c>
      <c r="I364" s="17">
        <f t="shared" si="25"/>
        <v>9461.6550000000007</v>
      </c>
      <c r="J364" s="112">
        <f t="shared" si="26"/>
        <v>10218.587400000002</v>
      </c>
      <c r="K364" s="112">
        <v>10218.587400000002</v>
      </c>
      <c r="L364" s="17">
        <f t="shared" si="23"/>
        <v>6090.278090400001</v>
      </c>
      <c r="M364" t="s">
        <v>3246</v>
      </c>
    </row>
    <row r="365" spans="1:13" x14ac:dyDescent="0.25">
      <c r="B365" s="6" t="s">
        <v>762</v>
      </c>
      <c r="C365" s="15" t="s">
        <v>264</v>
      </c>
      <c r="D365" s="7" t="s">
        <v>865</v>
      </c>
      <c r="E365" s="2" t="s">
        <v>710</v>
      </c>
      <c r="F365" s="7" t="s">
        <v>701</v>
      </c>
      <c r="G365" s="23">
        <f>5279+3*671+2*225+2*517-517+563</f>
        <v>8822</v>
      </c>
      <c r="H365" s="17">
        <f t="shared" si="24"/>
        <v>9263.1</v>
      </c>
      <c r="I365" s="17">
        <f t="shared" si="25"/>
        <v>9726.255000000001</v>
      </c>
      <c r="J365" s="112">
        <f t="shared" si="26"/>
        <v>10504.355400000002</v>
      </c>
      <c r="K365" s="112">
        <v>10504.355400000002</v>
      </c>
      <c r="L365" s="17">
        <f t="shared" si="23"/>
        <v>6260.595818400001</v>
      </c>
      <c r="M365" t="s">
        <v>3246</v>
      </c>
    </row>
    <row r="366" spans="1:13" x14ac:dyDescent="0.25">
      <c r="B366" s="6" t="s">
        <v>763</v>
      </c>
      <c r="C366" s="15" t="s">
        <v>264</v>
      </c>
      <c r="D366" s="7" t="s">
        <v>866</v>
      </c>
      <c r="E366" s="2" t="s">
        <v>711</v>
      </c>
      <c r="F366" s="7" t="s">
        <v>701</v>
      </c>
      <c r="G366" s="23">
        <f>5519+3*671+2*225+2*517-517+563</f>
        <v>9062</v>
      </c>
      <c r="H366" s="17">
        <f t="shared" si="24"/>
        <v>9515.1</v>
      </c>
      <c r="I366" s="17">
        <f t="shared" si="25"/>
        <v>9990.8550000000014</v>
      </c>
      <c r="J366" s="112">
        <f t="shared" si="26"/>
        <v>10790.123400000002</v>
      </c>
      <c r="K366" s="112">
        <v>10790.123400000002</v>
      </c>
      <c r="L366" s="17">
        <f t="shared" si="23"/>
        <v>6430.913546400001</v>
      </c>
      <c r="M366" t="s">
        <v>3246</v>
      </c>
    </row>
    <row r="367" spans="1:13" x14ac:dyDescent="0.25">
      <c r="B367" s="6" t="s">
        <v>764</v>
      </c>
      <c r="C367" s="15" t="s">
        <v>264</v>
      </c>
      <c r="D367" s="7" t="s">
        <v>867</v>
      </c>
      <c r="E367" s="2" t="s">
        <v>712</v>
      </c>
      <c r="F367" s="7" t="s">
        <v>701</v>
      </c>
      <c r="G367" s="23">
        <f>5759+2*225+2*517+3*671-517+563</f>
        <v>9302</v>
      </c>
      <c r="H367" s="17">
        <f t="shared" si="24"/>
        <v>9767.1</v>
      </c>
      <c r="I367" s="17">
        <f t="shared" si="25"/>
        <v>10255.455</v>
      </c>
      <c r="J367" s="112">
        <f t="shared" si="26"/>
        <v>11075.8914</v>
      </c>
      <c r="K367" s="112">
        <v>11075.8914</v>
      </c>
      <c r="L367" s="17">
        <f t="shared" si="23"/>
        <v>6601.2312744000001</v>
      </c>
      <c r="M367" t="s">
        <v>3246</v>
      </c>
    </row>
    <row r="368" spans="1:13" x14ac:dyDescent="0.25">
      <c r="B368" s="6" t="s">
        <v>765</v>
      </c>
      <c r="C368" s="15" t="s">
        <v>264</v>
      </c>
      <c r="D368" s="7" t="s">
        <v>868</v>
      </c>
      <c r="E368" s="2" t="s">
        <v>713</v>
      </c>
      <c r="F368" s="7" t="s">
        <v>701</v>
      </c>
      <c r="G368" s="23">
        <f>5999+3*671+2*225+2*517-517+563</f>
        <v>9542</v>
      </c>
      <c r="H368" s="17">
        <f t="shared" si="24"/>
        <v>10019.1</v>
      </c>
      <c r="I368" s="17">
        <f t="shared" si="25"/>
        <v>10520.055</v>
      </c>
      <c r="J368" s="112">
        <f t="shared" si="26"/>
        <v>11361.6594</v>
      </c>
      <c r="K368" s="112">
        <v>11361.6594</v>
      </c>
      <c r="L368" s="17">
        <f t="shared" si="23"/>
        <v>6771.5490024000001</v>
      </c>
      <c r="M368" t="s">
        <v>3246</v>
      </c>
    </row>
    <row r="369" spans="1:13" x14ac:dyDescent="0.25">
      <c r="B369" s="6" t="s">
        <v>766</v>
      </c>
      <c r="C369" s="15" t="s">
        <v>264</v>
      </c>
      <c r="D369" s="7" t="s">
        <v>869</v>
      </c>
      <c r="E369" s="2" t="s">
        <v>714</v>
      </c>
      <c r="F369" s="7" t="s">
        <v>701</v>
      </c>
      <c r="G369" s="23">
        <f>6239+3*671+2*225+2*517-517+563</f>
        <v>9782</v>
      </c>
      <c r="H369" s="17">
        <f t="shared" si="24"/>
        <v>10271.1</v>
      </c>
      <c r="I369" s="17">
        <f t="shared" si="25"/>
        <v>10784.655000000001</v>
      </c>
      <c r="J369" s="112">
        <f t="shared" si="26"/>
        <v>11647.427400000002</v>
      </c>
      <c r="K369" s="112">
        <v>11647.427400000002</v>
      </c>
      <c r="L369" s="17">
        <f t="shared" si="23"/>
        <v>6941.866730400001</v>
      </c>
      <c r="M369" t="s">
        <v>3246</v>
      </c>
    </row>
    <row r="370" spans="1:13" x14ac:dyDescent="0.25">
      <c r="B370" s="6" t="s">
        <v>767</v>
      </c>
      <c r="C370" s="15" t="s">
        <v>264</v>
      </c>
      <c r="D370" s="7" t="s">
        <v>870</v>
      </c>
      <c r="E370" s="2" t="s">
        <v>715</v>
      </c>
      <c r="F370" s="7" t="s">
        <v>701</v>
      </c>
      <c r="G370" s="23">
        <f>6479+3*671+2*225+2*517-517+563</f>
        <v>10022</v>
      </c>
      <c r="H370" s="17">
        <f t="shared" si="24"/>
        <v>10523.1</v>
      </c>
      <c r="I370" s="17">
        <f t="shared" si="25"/>
        <v>11049.255000000001</v>
      </c>
      <c r="J370" s="112">
        <f t="shared" si="26"/>
        <v>11933.195400000002</v>
      </c>
      <c r="K370" s="112">
        <v>11933.195400000002</v>
      </c>
      <c r="L370" s="17">
        <f t="shared" si="23"/>
        <v>7112.1844584000009</v>
      </c>
      <c r="M370" t="s">
        <v>3246</v>
      </c>
    </row>
    <row r="371" spans="1:13" x14ac:dyDescent="0.25">
      <c r="B371" s="6" t="s">
        <v>768</v>
      </c>
      <c r="C371" s="15" t="s">
        <v>264</v>
      </c>
      <c r="D371" s="7" t="s">
        <v>871</v>
      </c>
      <c r="E371" s="2" t="s">
        <v>716</v>
      </c>
      <c r="F371" s="7" t="s">
        <v>701</v>
      </c>
      <c r="G371" s="23">
        <f>6719+3*671+2*517+2*225-517+563</f>
        <v>10262</v>
      </c>
      <c r="H371" s="17">
        <f t="shared" si="24"/>
        <v>10775.1</v>
      </c>
      <c r="I371" s="17">
        <f t="shared" si="25"/>
        <v>11313.855000000001</v>
      </c>
      <c r="J371" s="112">
        <f t="shared" si="26"/>
        <v>12218.963400000002</v>
      </c>
      <c r="K371" s="112">
        <v>12218.963400000002</v>
      </c>
      <c r="L371" s="17">
        <f t="shared" si="23"/>
        <v>7282.5021864000009</v>
      </c>
      <c r="M371" t="s">
        <v>3246</v>
      </c>
    </row>
    <row r="372" spans="1:13" x14ac:dyDescent="0.25">
      <c r="B372" s="6" t="s">
        <v>769</v>
      </c>
      <c r="C372" s="15" t="s">
        <v>264</v>
      </c>
      <c r="D372" s="7" t="s">
        <v>872</v>
      </c>
      <c r="E372" s="2" t="s">
        <v>717</v>
      </c>
      <c r="F372" s="7" t="s">
        <v>701</v>
      </c>
      <c r="G372" s="23">
        <f>6959+3*671+2*225+2*517-517+563</f>
        <v>10502</v>
      </c>
      <c r="H372" s="17">
        <f t="shared" si="24"/>
        <v>11027.1</v>
      </c>
      <c r="I372" s="17">
        <f t="shared" si="25"/>
        <v>11578.455000000002</v>
      </c>
      <c r="J372" s="112">
        <f t="shared" si="26"/>
        <v>12504.731400000002</v>
      </c>
      <c r="K372" s="112">
        <v>12504.731400000002</v>
      </c>
      <c r="L372" s="17">
        <f t="shared" si="23"/>
        <v>7452.8199144000009</v>
      </c>
      <c r="M372" t="s">
        <v>3246</v>
      </c>
    </row>
    <row r="373" spans="1:13" x14ac:dyDescent="0.25">
      <c r="B373" s="6" t="s">
        <v>770</v>
      </c>
      <c r="C373" s="15" t="s">
        <v>264</v>
      </c>
      <c r="D373" s="7" t="s">
        <v>873</v>
      </c>
      <c r="E373" s="2" t="s">
        <v>718</v>
      </c>
      <c r="F373" s="7" t="s">
        <v>701</v>
      </c>
      <c r="G373" s="23">
        <f>7199+3*671+2*225+2*517-517+563</f>
        <v>10742</v>
      </c>
      <c r="H373" s="17">
        <f t="shared" si="24"/>
        <v>11279.1</v>
      </c>
      <c r="I373" s="17">
        <f t="shared" si="25"/>
        <v>11843.055</v>
      </c>
      <c r="J373" s="112">
        <f t="shared" si="26"/>
        <v>12790.499400000001</v>
      </c>
      <c r="K373" s="112">
        <v>12790.499400000001</v>
      </c>
      <c r="L373" s="17">
        <f t="shared" si="23"/>
        <v>7623.1376424</v>
      </c>
      <c r="M373" t="s">
        <v>3246</v>
      </c>
    </row>
    <row r="374" spans="1:13" x14ac:dyDescent="0.25">
      <c r="B374" s="6" t="s">
        <v>771</v>
      </c>
      <c r="C374" s="15" t="s">
        <v>264</v>
      </c>
      <c r="D374" s="7" t="s">
        <v>874</v>
      </c>
      <c r="E374" s="2" t="s">
        <v>719</v>
      </c>
      <c r="F374" s="7" t="s">
        <v>701</v>
      </c>
      <c r="G374" s="23">
        <f>7439+3*671+2*225+2*517-517+563</f>
        <v>10982</v>
      </c>
      <c r="H374" s="17">
        <f t="shared" si="24"/>
        <v>11531.1</v>
      </c>
      <c r="I374" s="17">
        <f t="shared" si="25"/>
        <v>12107.655000000001</v>
      </c>
      <c r="J374" s="112">
        <f t="shared" si="26"/>
        <v>13076.267400000002</v>
      </c>
      <c r="K374" s="112">
        <v>13076.267400000002</v>
      </c>
      <c r="L374" s="17">
        <f t="shared" si="23"/>
        <v>7793.4553704000009</v>
      </c>
      <c r="M374" t="s">
        <v>3246</v>
      </c>
    </row>
    <row r="375" spans="1:13" x14ac:dyDescent="0.25">
      <c r="A375" t="s">
        <v>2914</v>
      </c>
      <c r="B375" s="6" t="s">
        <v>772</v>
      </c>
      <c r="C375" s="15" t="s">
        <v>264</v>
      </c>
      <c r="D375" s="7" t="s">
        <v>875</v>
      </c>
      <c r="E375" s="2" t="s">
        <v>720</v>
      </c>
      <c r="F375" s="7" t="s">
        <v>701</v>
      </c>
      <c r="G375" s="23">
        <f>7679+3*671+2*225+2*517-517+653</f>
        <v>11312</v>
      </c>
      <c r="H375" s="17">
        <f t="shared" si="24"/>
        <v>11877.6</v>
      </c>
      <c r="I375" s="17">
        <f t="shared" si="25"/>
        <v>12471.480000000001</v>
      </c>
      <c r="J375" s="112">
        <f t="shared" si="26"/>
        <v>13469.198400000003</v>
      </c>
      <c r="K375" s="112">
        <v>13469.198400000003</v>
      </c>
      <c r="L375" s="17">
        <f t="shared" si="23"/>
        <v>8027.6422464000016</v>
      </c>
      <c r="M375" t="s">
        <v>3246</v>
      </c>
    </row>
    <row r="376" spans="1:13" x14ac:dyDescent="0.25">
      <c r="B376" s="6" t="s">
        <v>773</v>
      </c>
      <c r="C376" s="15" t="s">
        <v>264</v>
      </c>
      <c r="D376" s="7" t="s">
        <v>262</v>
      </c>
      <c r="E376" s="2" t="s">
        <v>196</v>
      </c>
      <c r="F376" s="7" t="s">
        <v>702</v>
      </c>
      <c r="G376" s="11">
        <f>7722-517+563</f>
        <v>7768</v>
      </c>
      <c r="H376" s="17">
        <f t="shared" si="24"/>
        <v>8156.4000000000005</v>
      </c>
      <c r="I376" s="17">
        <f t="shared" si="25"/>
        <v>8564.2200000000012</v>
      </c>
      <c r="J376" s="112">
        <f t="shared" si="26"/>
        <v>9249.3576000000012</v>
      </c>
      <c r="K376" s="112">
        <v>9249.3576000000012</v>
      </c>
      <c r="L376" s="17">
        <f t="shared" si="23"/>
        <v>5512.6171296000002</v>
      </c>
      <c r="M376" t="s">
        <v>3246</v>
      </c>
    </row>
    <row r="377" spans="1:13" x14ac:dyDescent="0.25">
      <c r="B377" s="6" t="s">
        <v>774</v>
      </c>
      <c r="C377" s="15" t="s">
        <v>264</v>
      </c>
      <c r="D377" s="7" t="s">
        <v>876</v>
      </c>
      <c r="E377" s="2" t="s">
        <v>721</v>
      </c>
      <c r="F377" s="7" t="s">
        <v>702</v>
      </c>
      <c r="G377" s="11">
        <f>8639-517+563</f>
        <v>8685</v>
      </c>
      <c r="H377" s="17">
        <f t="shared" si="24"/>
        <v>9119.25</v>
      </c>
      <c r="I377" s="17">
        <f t="shared" si="25"/>
        <v>9575.2124999999996</v>
      </c>
      <c r="J377" s="112">
        <f t="shared" si="26"/>
        <v>10341.229499999999</v>
      </c>
      <c r="K377" s="112">
        <v>10341.229499999999</v>
      </c>
      <c r="L377" s="17">
        <f t="shared" si="23"/>
        <v>6163.3727819999995</v>
      </c>
      <c r="M377" t="s">
        <v>3246</v>
      </c>
    </row>
    <row r="378" spans="1:13" x14ac:dyDescent="0.25">
      <c r="B378" s="6" t="s">
        <v>775</v>
      </c>
      <c r="C378" s="15" t="s">
        <v>264</v>
      </c>
      <c r="D378" s="7" t="s">
        <v>877</v>
      </c>
      <c r="E378" s="2" t="s">
        <v>722</v>
      </c>
      <c r="F378" s="7" t="s">
        <v>701</v>
      </c>
      <c r="G378" s="11">
        <f>8882-517+563</f>
        <v>8928</v>
      </c>
      <c r="H378" s="17">
        <f t="shared" si="24"/>
        <v>9374.4</v>
      </c>
      <c r="I378" s="17">
        <f t="shared" si="25"/>
        <v>9843.1200000000008</v>
      </c>
      <c r="J378" s="112">
        <f t="shared" si="26"/>
        <v>10630.569600000001</v>
      </c>
      <c r="K378" s="112">
        <v>10630.569600000001</v>
      </c>
      <c r="L378" s="17">
        <f t="shared" si="23"/>
        <v>6335.8194816000005</v>
      </c>
      <c r="M378" t="s">
        <v>3246</v>
      </c>
    </row>
    <row r="379" spans="1:13" x14ac:dyDescent="0.25">
      <c r="B379" s="6" t="s">
        <v>776</v>
      </c>
      <c r="C379" s="15" t="s">
        <v>264</v>
      </c>
      <c r="D379" s="7" t="s">
        <v>878</v>
      </c>
      <c r="E379" s="2" t="s">
        <v>723</v>
      </c>
      <c r="F379" s="7" t="s">
        <v>701</v>
      </c>
      <c r="G379" s="11">
        <f>9046-517+563</f>
        <v>9092</v>
      </c>
      <c r="H379" s="17">
        <f t="shared" si="24"/>
        <v>9546.6</v>
      </c>
      <c r="I379" s="17">
        <f t="shared" si="25"/>
        <v>10023.93</v>
      </c>
      <c r="J379" s="112">
        <f t="shared" si="26"/>
        <v>10825.844400000002</v>
      </c>
      <c r="K379" s="112">
        <v>10825.844400000002</v>
      </c>
      <c r="L379" s="17">
        <f t="shared" si="23"/>
        <v>6452.2032624000012</v>
      </c>
      <c r="M379" t="s">
        <v>3246</v>
      </c>
    </row>
    <row r="380" spans="1:13" x14ac:dyDescent="0.25">
      <c r="B380" s="6" t="s">
        <v>777</v>
      </c>
      <c r="C380" s="15" t="s">
        <v>264</v>
      </c>
      <c r="D380" s="7" t="s">
        <v>879</v>
      </c>
      <c r="E380" s="2" t="s">
        <v>724</v>
      </c>
      <c r="F380" s="7" t="s">
        <v>701</v>
      </c>
      <c r="G380" s="11">
        <f>9069-517+563</f>
        <v>9115</v>
      </c>
      <c r="H380" s="17">
        <f t="shared" si="24"/>
        <v>9570.75</v>
      </c>
      <c r="I380" s="17">
        <f t="shared" si="25"/>
        <v>10049.2875</v>
      </c>
      <c r="J380" s="112">
        <f t="shared" si="26"/>
        <v>10853.230500000001</v>
      </c>
      <c r="K380" s="112">
        <v>10853.230500000001</v>
      </c>
      <c r="L380" s="17">
        <f t="shared" si="23"/>
        <v>6468.5253780000003</v>
      </c>
      <c r="M380" t="s">
        <v>3246</v>
      </c>
    </row>
    <row r="381" spans="1:13" x14ac:dyDescent="0.25">
      <c r="B381" s="6" t="s">
        <v>778</v>
      </c>
      <c r="C381" s="15" t="s">
        <v>264</v>
      </c>
      <c r="D381" s="7" t="s">
        <v>880</v>
      </c>
      <c r="E381" s="2" t="s">
        <v>725</v>
      </c>
      <c r="F381" s="7" t="s">
        <v>701</v>
      </c>
      <c r="G381" s="11">
        <f>9301-517+563</f>
        <v>9347</v>
      </c>
      <c r="H381" s="17">
        <f t="shared" si="24"/>
        <v>9814.35</v>
      </c>
      <c r="I381" s="17">
        <f t="shared" si="25"/>
        <v>10305.067500000001</v>
      </c>
      <c r="J381" s="112">
        <f t="shared" si="26"/>
        <v>11129.472900000002</v>
      </c>
      <c r="K381" s="112">
        <v>11129.472900000002</v>
      </c>
      <c r="L381" s="17">
        <f t="shared" si="23"/>
        <v>6633.1658484000009</v>
      </c>
      <c r="M381" t="s">
        <v>3246</v>
      </c>
    </row>
    <row r="382" spans="1:13" x14ac:dyDescent="0.25">
      <c r="B382" s="6" t="s">
        <v>779</v>
      </c>
      <c r="C382" s="15" t="s">
        <v>264</v>
      </c>
      <c r="D382" s="7" t="s">
        <v>881</v>
      </c>
      <c r="E382" s="2" t="s">
        <v>726</v>
      </c>
      <c r="F382" s="7" t="s">
        <v>701</v>
      </c>
      <c r="G382" s="11">
        <f>9533-517+563</f>
        <v>9579</v>
      </c>
      <c r="H382" s="17">
        <f t="shared" si="24"/>
        <v>10057.950000000001</v>
      </c>
      <c r="I382" s="17">
        <f t="shared" si="25"/>
        <v>10560.847500000002</v>
      </c>
      <c r="J382" s="112">
        <f t="shared" si="26"/>
        <v>11405.715300000002</v>
      </c>
      <c r="K382" s="112">
        <v>11405.715300000002</v>
      </c>
      <c r="L382" s="17">
        <f t="shared" si="23"/>
        <v>6797.8063188000006</v>
      </c>
      <c r="M382" t="s">
        <v>3246</v>
      </c>
    </row>
    <row r="383" spans="1:13" x14ac:dyDescent="0.25">
      <c r="B383" s="6" t="s">
        <v>780</v>
      </c>
      <c r="C383" s="15" t="s">
        <v>264</v>
      </c>
      <c r="D383" s="7" t="s">
        <v>882</v>
      </c>
      <c r="E383" s="2" t="s">
        <v>727</v>
      </c>
      <c r="F383" s="7" t="s">
        <v>701</v>
      </c>
      <c r="G383" s="11">
        <f>9765-517+563</f>
        <v>9811</v>
      </c>
      <c r="H383" s="17">
        <f t="shared" si="24"/>
        <v>10301.550000000001</v>
      </c>
      <c r="I383" s="17">
        <f t="shared" si="25"/>
        <v>10816.627500000002</v>
      </c>
      <c r="J383" s="112">
        <f t="shared" si="26"/>
        <v>11681.957700000003</v>
      </c>
      <c r="K383" s="112">
        <v>11681.957700000003</v>
      </c>
      <c r="L383" s="17">
        <f t="shared" si="23"/>
        <v>6962.4467892000011</v>
      </c>
      <c r="M383" t="s">
        <v>3246</v>
      </c>
    </row>
    <row r="384" spans="1:13" x14ac:dyDescent="0.25">
      <c r="B384" s="6" t="s">
        <v>781</v>
      </c>
      <c r="C384" s="15" t="s">
        <v>264</v>
      </c>
      <c r="D384" s="7" t="s">
        <v>883</v>
      </c>
      <c r="E384" s="2" t="s">
        <v>728</v>
      </c>
      <c r="F384" s="7" t="s">
        <v>701</v>
      </c>
      <c r="G384" s="11">
        <f>10875-517+563</f>
        <v>10921</v>
      </c>
      <c r="H384" s="17">
        <f t="shared" si="24"/>
        <v>11467.050000000001</v>
      </c>
      <c r="I384" s="17">
        <f t="shared" si="25"/>
        <v>12040.402500000002</v>
      </c>
      <c r="J384" s="112">
        <f t="shared" si="26"/>
        <v>13003.634700000002</v>
      </c>
      <c r="K384" s="112">
        <v>13003.634700000002</v>
      </c>
      <c r="L384" s="17">
        <f t="shared" si="23"/>
        <v>7750.1662812000013</v>
      </c>
      <c r="M384" t="s">
        <v>3246</v>
      </c>
    </row>
    <row r="385" spans="2:13" x14ac:dyDescent="0.25">
      <c r="B385" s="6" t="s">
        <v>782</v>
      </c>
      <c r="C385" s="15" t="s">
        <v>264</v>
      </c>
      <c r="D385" s="7" t="s">
        <v>884</v>
      </c>
      <c r="E385" s="2" t="s">
        <v>729</v>
      </c>
      <c r="F385" s="7" t="s">
        <v>701</v>
      </c>
      <c r="G385" s="11">
        <f>12094-517+563</f>
        <v>12140</v>
      </c>
      <c r="H385" s="17">
        <f t="shared" si="24"/>
        <v>12747</v>
      </c>
      <c r="I385" s="17">
        <f t="shared" si="25"/>
        <v>13384.35</v>
      </c>
      <c r="J385" s="112">
        <f t="shared" si="26"/>
        <v>14455.098000000002</v>
      </c>
      <c r="K385" s="112">
        <v>14455.098000000002</v>
      </c>
      <c r="L385" s="17">
        <f t="shared" ref="L385:L448" si="27">K385*0.596</f>
        <v>8615.2384080000011</v>
      </c>
      <c r="M385" t="s">
        <v>3246</v>
      </c>
    </row>
    <row r="386" spans="2:13" x14ac:dyDescent="0.25">
      <c r="B386" s="6" t="s">
        <v>783</v>
      </c>
      <c r="C386" s="15" t="s">
        <v>264</v>
      </c>
      <c r="D386" s="7" t="s">
        <v>885</v>
      </c>
      <c r="E386" s="2" t="s">
        <v>730</v>
      </c>
      <c r="F386" s="7" t="s">
        <v>701</v>
      </c>
      <c r="G386" s="11">
        <f>12392-517+563</f>
        <v>12438</v>
      </c>
      <c r="H386" s="17">
        <f t="shared" ref="H386:H449" si="28">G386*1.05</f>
        <v>13059.900000000001</v>
      </c>
      <c r="I386" s="17">
        <f t="shared" ref="I386:I449" si="29">H386*1.05</f>
        <v>13712.895000000002</v>
      </c>
      <c r="J386" s="112">
        <f t="shared" ref="J386:J449" si="30">I386*1.08</f>
        <v>14809.926600000003</v>
      </c>
      <c r="K386" s="112">
        <v>14809.926600000003</v>
      </c>
      <c r="L386" s="17">
        <f t="shared" si="27"/>
        <v>8826.7162536000014</v>
      </c>
      <c r="M386" t="s">
        <v>3246</v>
      </c>
    </row>
    <row r="387" spans="2:13" x14ac:dyDescent="0.25">
      <c r="B387" s="6" t="s">
        <v>784</v>
      </c>
      <c r="C387" s="15" t="s">
        <v>264</v>
      </c>
      <c r="D387" s="7" t="s">
        <v>886</v>
      </c>
      <c r="E387" s="2" t="s">
        <v>731</v>
      </c>
      <c r="F387" s="7" t="s">
        <v>701</v>
      </c>
      <c r="G387" s="11">
        <f>12688-517+563</f>
        <v>12734</v>
      </c>
      <c r="H387" s="17">
        <f t="shared" si="28"/>
        <v>13370.7</v>
      </c>
      <c r="I387" s="17">
        <f t="shared" si="29"/>
        <v>14039.235000000001</v>
      </c>
      <c r="J387" s="112">
        <f t="shared" si="30"/>
        <v>15162.373800000001</v>
      </c>
      <c r="K387" s="112">
        <v>15162.373800000001</v>
      </c>
      <c r="L387" s="17">
        <f t="shared" si="27"/>
        <v>9036.7747847999999</v>
      </c>
      <c r="M387" t="s">
        <v>3246</v>
      </c>
    </row>
    <row r="388" spans="2:13" x14ac:dyDescent="0.25">
      <c r="B388" s="6" t="s">
        <v>785</v>
      </c>
      <c r="C388" s="15" t="s">
        <v>264</v>
      </c>
      <c r="D388" s="7" t="s">
        <v>887</v>
      </c>
      <c r="E388" s="2" t="s">
        <v>732</v>
      </c>
      <c r="F388" s="7" t="s">
        <v>701</v>
      </c>
      <c r="G388" s="11">
        <f>12985-517+563</f>
        <v>13031</v>
      </c>
      <c r="H388" s="17">
        <f t="shared" si="28"/>
        <v>13682.550000000001</v>
      </c>
      <c r="I388" s="17">
        <f t="shared" si="29"/>
        <v>14366.677500000002</v>
      </c>
      <c r="J388" s="112">
        <f t="shared" si="30"/>
        <v>15516.011700000003</v>
      </c>
      <c r="K388" s="112">
        <v>15516.011700000003</v>
      </c>
      <c r="L388" s="17">
        <f t="shared" si="27"/>
        <v>9247.5429732000011</v>
      </c>
      <c r="M388" t="s">
        <v>3246</v>
      </c>
    </row>
    <row r="389" spans="2:13" x14ac:dyDescent="0.25">
      <c r="B389" s="6" t="s">
        <v>786</v>
      </c>
      <c r="C389" s="15" t="s">
        <v>264</v>
      </c>
      <c r="D389" s="7" t="s">
        <v>888</v>
      </c>
      <c r="E389" s="2" t="s">
        <v>733</v>
      </c>
      <c r="F389" s="7" t="s">
        <v>701</v>
      </c>
      <c r="G389" s="11">
        <f>8283-517+563</f>
        <v>8329</v>
      </c>
      <c r="H389" s="17">
        <f t="shared" si="28"/>
        <v>8745.4500000000007</v>
      </c>
      <c r="I389" s="17">
        <f t="shared" si="29"/>
        <v>9182.7225000000017</v>
      </c>
      <c r="J389" s="112">
        <f t="shared" si="30"/>
        <v>9917.3403000000017</v>
      </c>
      <c r="K389" s="112">
        <v>9917.3403000000017</v>
      </c>
      <c r="L389" s="17">
        <f t="shared" si="27"/>
        <v>5910.7348188000005</v>
      </c>
      <c r="M389" t="s">
        <v>3246</v>
      </c>
    </row>
    <row r="390" spans="2:13" x14ac:dyDescent="0.25">
      <c r="B390" s="6" t="s">
        <v>787</v>
      </c>
      <c r="C390" s="15" t="s">
        <v>264</v>
      </c>
      <c r="D390" s="7" t="s">
        <v>889</v>
      </c>
      <c r="E390" s="2" t="s">
        <v>734</v>
      </c>
      <c r="F390" s="7" t="s">
        <v>701</v>
      </c>
      <c r="G390" s="11">
        <f>9227-517+563</f>
        <v>9273</v>
      </c>
      <c r="H390" s="17">
        <f t="shared" si="28"/>
        <v>9736.65</v>
      </c>
      <c r="I390" s="17">
        <f t="shared" si="29"/>
        <v>10223.4825</v>
      </c>
      <c r="J390" s="112">
        <f t="shared" si="30"/>
        <v>11041.3611</v>
      </c>
      <c r="K390" s="112">
        <v>11041.3611</v>
      </c>
      <c r="L390" s="17">
        <f t="shared" si="27"/>
        <v>6580.6512155999999</v>
      </c>
      <c r="M390" t="s">
        <v>3246</v>
      </c>
    </row>
    <row r="391" spans="2:13" x14ac:dyDescent="0.25">
      <c r="B391" s="6" t="s">
        <v>788</v>
      </c>
      <c r="C391" s="15" t="s">
        <v>264</v>
      </c>
      <c r="D391" s="7" t="s">
        <v>890</v>
      </c>
      <c r="E391" s="2" t="s">
        <v>735</v>
      </c>
      <c r="F391" s="7" t="s">
        <v>914</v>
      </c>
      <c r="G391" s="11">
        <f>9558-517+563</f>
        <v>9604</v>
      </c>
      <c r="H391" s="17">
        <f t="shared" si="28"/>
        <v>10084.200000000001</v>
      </c>
      <c r="I391" s="17">
        <f t="shared" si="29"/>
        <v>10588.410000000002</v>
      </c>
      <c r="J391" s="112">
        <f t="shared" si="30"/>
        <v>11435.482800000003</v>
      </c>
      <c r="K391" s="112">
        <v>11435.482800000003</v>
      </c>
      <c r="L391" s="17">
        <f t="shared" si="27"/>
        <v>6815.5477488000015</v>
      </c>
      <c r="M391" t="s">
        <v>3246</v>
      </c>
    </row>
    <row r="392" spans="2:13" x14ac:dyDescent="0.25">
      <c r="B392" s="6" t="s">
        <v>789</v>
      </c>
      <c r="C392" s="15" t="s">
        <v>264</v>
      </c>
      <c r="D392" s="7" t="s">
        <v>891</v>
      </c>
      <c r="E392" s="2" t="s">
        <v>736</v>
      </c>
      <c r="F392" s="7" t="s">
        <v>914</v>
      </c>
      <c r="G392" s="11">
        <f>9726-517+563</f>
        <v>9772</v>
      </c>
      <c r="H392" s="17">
        <f t="shared" si="28"/>
        <v>10260.6</v>
      </c>
      <c r="I392" s="17">
        <f t="shared" si="29"/>
        <v>10773.630000000001</v>
      </c>
      <c r="J392" s="112">
        <f t="shared" si="30"/>
        <v>11635.520400000001</v>
      </c>
      <c r="K392" s="112">
        <v>11635.520400000001</v>
      </c>
      <c r="L392" s="17">
        <f t="shared" si="27"/>
        <v>6934.7701584000006</v>
      </c>
      <c r="M392" t="s">
        <v>3246</v>
      </c>
    </row>
    <row r="393" spans="2:13" x14ac:dyDescent="0.25">
      <c r="B393" s="6" t="s">
        <v>790</v>
      </c>
      <c r="C393" s="15" t="s">
        <v>264</v>
      </c>
      <c r="D393" s="7" t="s">
        <v>892</v>
      </c>
      <c r="E393" s="2" t="s">
        <v>737</v>
      </c>
      <c r="F393" s="7" t="s">
        <v>914</v>
      </c>
      <c r="G393" s="11">
        <f>9815-517+563</f>
        <v>9861</v>
      </c>
      <c r="H393" s="17">
        <f t="shared" si="28"/>
        <v>10354.050000000001</v>
      </c>
      <c r="I393" s="17">
        <f t="shared" si="29"/>
        <v>10871.752500000002</v>
      </c>
      <c r="J393" s="112">
        <f t="shared" si="30"/>
        <v>11741.492700000003</v>
      </c>
      <c r="K393" s="112">
        <v>11741.492700000003</v>
      </c>
      <c r="L393" s="17">
        <f t="shared" si="27"/>
        <v>6997.9296492000012</v>
      </c>
      <c r="M393" t="s">
        <v>3246</v>
      </c>
    </row>
    <row r="394" spans="2:13" x14ac:dyDescent="0.25">
      <c r="B394" s="6" t="s">
        <v>791</v>
      </c>
      <c r="C394" s="15" t="s">
        <v>264</v>
      </c>
      <c r="D394" s="7" t="s">
        <v>893</v>
      </c>
      <c r="E394" s="2" t="s">
        <v>738</v>
      </c>
      <c r="F394" s="7" t="s">
        <v>914</v>
      </c>
      <c r="G394" s="11">
        <f>10075-517+563</f>
        <v>10121</v>
      </c>
      <c r="H394" s="17">
        <f t="shared" si="28"/>
        <v>10627.050000000001</v>
      </c>
      <c r="I394" s="17">
        <f t="shared" si="29"/>
        <v>11158.402500000002</v>
      </c>
      <c r="J394" s="112">
        <f t="shared" si="30"/>
        <v>12051.074700000003</v>
      </c>
      <c r="K394" s="112">
        <v>12051.074700000003</v>
      </c>
      <c r="L394" s="17">
        <f t="shared" si="27"/>
        <v>7182.4405212000011</v>
      </c>
      <c r="M394" t="s">
        <v>3246</v>
      </c>
    </row>
    <row r="395" spans="2:13" x14ac:dyDescent="0.25">
      <c r="B395" s="6" t="s">
        <v>792</v>
      </c>
      <c r="C395" s="15" t="s">
        <v>264</v>
      </c>
      <c r="D395" s="7" t="s">
        <v>894</v>
      </c>
      <c r="E395" s="2" t="s">
        <v>739</v>
      </c>
      <c r="F395" s="7" t="s">
        <v>914</v>
      </c>
      <c r="G395" s="11">
        <f>10337-517+563</f>
        <v>10383</v>
      </c>
      <c r="H395" s="17">
        <f t="shared" si="28"/>
        <v>10902.15</v>
      </c>
      <c r="I395" s="17">
        <f t="shared" si="29"/>
        <v>11447.2575</v>
      </c>
      <c r="J395" s="112">
        <f t="shared" si="30"/>
        <v>12363.0381</v>
      </c>
      <c r="K395" s="112">
        <v>12363.0381</v>
      </c>
      <c r="L395" s="17">
        <f t="shared" si="27"/>
        <v>7368.3707075999992</v>
      </c>
      <c r="M395" t="s">
        <v>3246</v>
      </c>
    </row>
    <row r="396" spans="2:13" x14ac:dyDescent="0.25">
      <c r="B396" s="6" t="s">
        <v>793</v>
      </c>
      <c r="C396" s="15" t="s">
        <v>264</v>
      </c>
      <c r="D396" s="7" t="s">
        <v>895</v>
      </c>
      <c r="E396" s="2" t="s">
        <v>740</v>
      </c>
      <c r="F396" s="7" t="s">
        <v>914</v>
      </c>
      <c r="G396" s="11">
        <f>10597-517+563</f>
        <v>10643</v>
      </c>
      <c r="H396" s="17">
        <f t="shared" si="28"/>
        <v>11175.15</v>
      </c>
      <c r="I396" s="17">
        <f t="shared" si="29"/>
        <v>11733.907499999999</v>
      </c>
      <c r="J396" s="112">
        <f t="shared" si="30"/>
        <v>12672.6201</v>
      </c>
      <c r="K396" s="112">
        <v>12672.6201</v>
      </c>
      <c r="L396" s="17">
        <f t="shared" si="27"/>
        <v>7552.8815795999999</v>
      </c>
      <c r="M396" t="s">
        <v>3246</v>
      </c>
    </row>
    <row r="397" spans="2:13" x14ac:dyDescent="0.25">
      <c r="B397" s="6" t="s">
        <v>794</v>
      </c>
      <c r="C397" s="15" t="s">
        <v>264</v>
      </c>
      <c r="D397" s="7" t="s">
        <v>896</v>
      </c>
      <c r="E397" s="2" t="s">
        <v>741</v>
      </c>
      <c r="F397" s="7" t="s">
        <v>914</v>
      </c>
      <c r="G397" s="11">
        <f>11856-517+563</f>
        <v>11902</v>
      </c>
      <c r="H397" s="17">
        <f t="shared" si="28"/>
        <v>12497.1</v>
      </c>
      <c r="I397" s="17">
        <f t="shared" si="29"/>
        <v>13121.955000000002</v>
      </c>
      <c r="J397" s="112">
        <f t="shared" si="30"/>
        <v>14171.711400000002</v>
      </c>
      <c r="K397" s="112">
        <v>14171.711400000002</v>
      </c>
      <c r="L397" s="17">
        <f t="shared" si="27"/>
        <v>8446.3399944000012</v>
      </c>
      <c r="M397" t="s">
        <v>3246</v>
      </c>
    </row>
    <row r="398" spans="2:13" x14ac:dyDescent="0.25">
      <c r="B398" s="6" t="s">
        <v>795</v>
      </c>
      <c r="C398" s="15" t="s">
        <v>264</v>
      </c>
      <c r="D398" s="7" t="s">
        <v>897</v>
      </c>
      <c r="E398" s="2" t="s">
        <v>742</v>
      </c>
      <c r="F398" s="7" t="s">
        <v>914</v>
      </c>
      <c r="G398" s="11">
        <f>12153-517+563</f>
        <v>12199</v>
      </c>
      <c r="H398" s="17">
        <f t="shared" si="28"/>
        <v>12808.95</v>
      </c>
      <c r="I398" s="17">
        <f t="shared" si="29"/>
        <v>13449.397500000001</v>
      </c>
      <c r="J398" s="112">
        <f t="shared" si="30"/>
        <v>14525.349300000002</v>
      </c>
      <c r="K398" s="112">
        <v>14525.349300000002</v>
      </c>
      <c r="L398" s="17">
        <f t="shared" si="27"/>
        <v>8657.1081828000006</v>
      </c>
      <c r="M398" t="s">
        <v>3246</v>
      </c>
    </row>
    <row r="399" spans="2:13" x14ac:dyDescent="0.25">
      <c r="B399" s="6" t="s">
        <v>796</v>
      </c>
      <c r="C399" s="15" t="s">
        <v>264</v>
      </c>
      <c r="D399" s="7" t="s">
        <v>898</v>
      </c>
      <c r="E399" s="2" t="s">
        <v>743</v>
      </c>
      <c r="F399" s="7" t="s">
        <v>914</v>
      </c>
      <c r="G399" s="11">
        <f>12449-517+563</f>
        <v>12495</v>
      </c>
      <c r="H399" s="17">
        <f t="shared" si="28"/>
        <v>13119.75</v>
      </c>
      <c r="I399" s="17">
        <f t="shared" si="29"/>
        <v>13775.737500000001</v>
      </c>
      <c r="J399" s="112">
        <f t="shared" si="30"/>
        <v>14877.796500000002</v>
      </c>
      <c r="K399" s="112">
        <v>14877.796500000002</v>
      </c>
      <c r="L399" s="17">
        <f t="shared" si="27"/>
        <v>8867.1667140000009</v>
      </c>
      <c r="M399" t="s">
        <v>3246</v>
      </c>
    </row>
    <row r="400" spans="2:13" x14ac:dyDescent="0.25">
      <c r="B400" s="6" t="s">
        <v>797</v>
      </c>
      <c r="C400" s="15" t="s">
        <v>264</v>
      </c>
      <c r="D400" s="7" t="s">
        <v>899</v>
      </c>
      <c r="E400" s="2" t="s">
        <v>744</v>
      </c>
      <c r="F400" s="7" t="s">
        <v>914</v>
      </c>
      <c r="G400" s="11">
        <f>12746-517+563</f>
        <v>12792</v>
      </c>
      <c r="H400" s="17">
        <f t="shared" si="28"/>
        <v>13431.6</v>
      </c>
      <c r="I400" s="17">
        <f t="shared" si="29"/>
        <v>14103.18</v>
      </c>
      <c r="J400" s="112">
        <f t="shared" si="30"/>
        <v>15231.434400000002</v>
      </c>
      <c r="K400" s="112">
        <v>15231.434400000002</v>
      </c>
      <c r="L400" s="17">
        <f t="shared" si="27"/>
        <v>9077.9349024000003</v>
      </c>
      <c r="M400" t="s">
        <v>3246</v>
      </c>
    </row>
    <row r="401" spans="1:13" x14ac:dyDescent="0.25">
      <c r="B401" s="6" t="s">
        <v>798</v>
      </c>
      <c r="C401" s="15" t="s">
        <v>264</v>
      </c>
      <c r="D401" s="7" t="s">
        <v>900</v>
      </c>
      <c r="E401" s="2" t="s">
        <v>745</v>
      </c>
      <c r="F401" s="7" t="s">
        <v>914</v>
      </c>
      <c r="G401" s="11">
        <f>13221-517+563</f>
        <v>13267</v>
      </c>
      <c r="H401" s="17">
        <f t="shared" si="28"/>
        <v>13930.35</v>
      </c>
      <c r="I401" s="17">
        <f t="shared" si="29"/>
        <v>14626.8675</v>
      </c>
      <c r="J401" s="112">
        <f t="shared" si="30"/>
        <v>15797.016900000001</v>
      </c>
      <c r="K401" s="112">
        <v>15797.016900000001</v>
      </c>
      <c r="L401" s="17">
        <f t="shared" si="27"/>
        <v>9415.0220723999992</v>
      </c>
      <c r="M401" t="s">
        <v>3246</v>
      </c>
    </row>
    <row r="402" spans="1:13" x14ac:dyDescent="0.25">
      <c r="B402" s="6" t="s">
        <v>799</v>
      </c>
      <c r="C402" s="15" t="s">
        <v>264</v>
      </c>
      <c r="D402" s="7" t="s">
        <v>901</v>
      </c>
      <c r="E402" s="2" t="s">
        <v>746</v>
      </c>
      <c r="F402" s="7" t="s">
        <v>914</v>
      </c>
      <c r="G402" s="11">
        <f>9463-517+563</f>
        <v>9509</v>
      </c>
      <c r="H402" s="17">
        <f t="shared" si="28"/>
        <v>9984.4500000000007</v>
      </c>
      <c r="I402" s="17">
        <f t="shared" si="29"/>
        <v>10483.672500000001</v>
      </c>
      <c r="J402" s="112">
        <f t="shared" si="30"/>
        <v>11322.366300000002</v>
      </c>
      <c r="K402" s="112">
        <v>11322.366300000002</v>
      </c>
      <c r="L402" s="17">
        <f t="shared" si="27"/>
        <v>6748.1303148000006</v>
      </c>
      <c r="M402" t="s">
        <v>3246</v>
      </c>
    </row>
    <row r="403" spans="1:13" x14ac:dyDescent="0.25">
      <c r="B403" s="6" t="s">
        <v>800</v>
      </c>
      <c r="C403" s="15" t="s">
        <v>264</v>
      </c>
      <c r="D403" s="7" t="s">
        <v>902</v>
      </c>
      <c r="E403" s="2" t="s">
        <v>747</v>
      </c>
      <c r="F403" s="7" t="s">
        <v>914</v>
      </c>
      <c r="G403" s="11">
        <f>9758-517+563</f>
        <v>9804</v>
      </c>
      <c r="H403" s="17">
        <f t="shared" si="28"/>
        <v>10294.200000000001</v>
      </c>
      <c r="I403" s="17">
        <f t="shared" si="29"/>
        <v>10808.910000000002</v>
      </c>
      <c r="J403" s="112">
        <f t="shared" si="30"/>
        <v>11673.622800000003</v>
      </c>
      <c r="K403" s="112">
        <v>11673.622800000003</v>
      </c>
      <c r="L403" s="17">
        <f t="shared" si="27"/>
        <v>6957.4791888000018</v>
      </c>
      <c r="M403" t="s">
        <v>3246</v>
      </c>
    </row>
    <row r="404" spans="1:13" x14ac:dyDescent="0.25">
      <c r="B404" s="6" t="s">
        <v>801</v>
      </c>
      <c r="C404" s="15" t="s">
        <v>264</v>
      </c>
      <c r="D404" s="7" t="s">
        <v>903</v>
      </c>
      <c r="E404" s="2" t="s">
        <v>748</v>
      </c>
      <c r="F404" s="7" t="s">
        <v>914</v>
      </c>
      <c r="G404" s="11">
        <f>10054-517+563</f>
        <v>10100</v>
      </c>
      <c r="H404" s="17">
        <f t="shared" si="28"/>
        <v>10605</v>
      </c>
      <c r="I404" s="17">
        <f t="shared" si="29"/>
        <v>11135.25</v>
      </c>
      <c r="J404" s="112">
        <f t="shared" si="30"/>
        <v>12026.070000000002</v>
      </c>
      <c r="K404" s="112">
        <v>12026.070000000002</v>
      </c>
      <c r="L404" s="17">
        <f t="shared" si="27"/>
        <v>7167.5377200000003</v>
      </c>
      <c r="M404" t="s">
        <v>3246</v>
      </c>
    </row>
    <row r="405" spans="1:13" x14ac:dyDescent="0.25">
      <c r="B405" s="6" t="s">
        <v>802</v>
      </c>
      <c r="C405" s="15" t="s">
        <v>264</v>
      </c>
      <c r="D405" s="7" t="s">
        <v>904</v>
      </c>
      <c r="E405" s="2" t="s">
        <v>749</v>
      </c>
      <c r="F405" s="7" t="s">
        <v>914</v>
      </c>
      <c r="G405" s="11">
        <f>10366-517+563</f>
        <v>10412</v>
      </c>
      <c r="H405" s="17">
        <f t="shared" si="28"/>
        <v>10932.6</v>
      </c>
      <c r="I405" s="17">
        <f t="shared" si="29"/>
        <v>11479.230000000001</v>
      </c>
      <c r="J405" s="112">
        <f t="shared" si="30"/>
        <v>12397.568400000002</v>
      </c>
      <c r="K405" s="112">
        <v>12397.568400000002</v>
      </c>
      <c r="L405" s="17">
        <f t="shared" si="27"/>
        <v>7388.9507664000012</v>
      </c>
      <c r="M405" t="s">
        <v>3246</v>
      </c>
    </row>
    <row r="406" spans="1:13" x14ac:dyDescent="0.25">
      <c r="B406" s="6" t="s">
        <v>803</v>
      </c>
      <c r="C406" s="15" t="s">
        <v>264</v>
      </c>
      <c r="D406" s="7" t="s">
        <v>905</v>
      </c>
      <c r="E406" s="2" t="s">
        <v>750</v>
      </c>
      <c r="F406" s="7" t="s">
        <v>914</v>
      </c>
      <c r="G406" s="11">
        <f>11504-517+563</f>
        <v>11550</v>
      </c>
      <c r="H406" s="17">
        <f t="shared" si="28"/>
        <v>12127.5</v>
      </c>
      <c r="I406" s="17">
        <f t="shared" si="29"/>
        <v>12733.875</v>
      </c>
      <c r="J406" s="112">
        <f t="shared" si="30"/>
        <v>13752.585000000001</v>
      </c>
      <c r="K406" s="112">
        <v>13752.585000000001</v>
      </c>
      <c r="L406" s="17">
        <f t="shared" si="27"/>
        <v>8196.5406600000006</v>
      </c>
      <c r="M406" t="s">
        <v>3246</v>
      </c>
    </row>
    <row r="407" spans="1:13" x14ac:dyDescent="0.25">
      <c r="B407" s="6" t="s">
        <v>804</v>
      </c>
      <c r="C407" s="15" t="s">
        <v>264</v>
      </c>
      <c r="D407" s="7" t="s">
        <v>906</v>
      </c>
      <c r="E407" s="2" t="s">
        <v>751</v>
      </c>
      <c r="F407" s="7" t="s">
        <v>914</v>
      </c>
      <c r="G407" s="11">
        <f>11836-517+563</f>
        <v>11882</v>
      </c>
      <c r="H407" s="17">
        <f t="shared" si="28"/>
        <v>12476.1</v>
      </c>
      <c r="I407" s="17">
        <f t="shared" si="29"/>
        <v>13099.905000000001</v>
      </c>
      <c r="J407" s="112">
        <f t="shared" si="30"/>
        <v>14147.897400000002</v>
      </c>
      <c r="K407" s="112">
        <v>14147.897400000002</v>
      </c>
      <c r="L407" s="17">
        <f t="shared" si="27"/>
        <v>8432.1468504000004</v>
      </c>
      <c r="M407" t="s">
        <v>3246</v>
      </c>
    </row>
    <row r="408" spans="1:13" x14ac:dyDescent="0.25">
      <c r="B408" s="6" t="s">
        <v>805</v>
      </c>
      <c r="C408" s="15" t="s">
        <v>264</v>
      </c>
      <c r="D408" s="7" t="s">
        <v>907</v>
      </c>
      <c r="E408" s="2" t="s">
        <v>752</v>
      </c>
      <c r="F408" s="7" t="s">
        <v>914</v>
      </c>
      <c r="G408" s="11">
        <f>12167-517+563</f>
        <v>12213</v>
      </c>
      <c r="H408" s="17">
        <f t="shared" si="28"/>
        <v>12823.65</v>
      </c>
      <c r="I408" s="17">
        <f t="shared" si="29"/>
        <v>13464.8325</v>
      </c>
      <c r="J408" s="112">
        <f t="shared" si="30"/>
        <v>14542.019100000001</v>
      </c>
      <c r="K408" s="112">
        <v>14542.019100000001</v>
      </c>
      <c r="L408" s="17">
        <f t="shared" si="27"/>
        <v>8667.0433836000011</v>
      </c>
      <c r="M408" t="s">
        <v>3246</v>
      </c>
    </row>
    <row r="409" spans="1:13" x14ac:dyDescent="0.25">
      <c r="B409" s="6" t="s">
        <v>806</v>
      </c>
      <c r="C409" s="15" t="s">
        <v>264</v>
      </c>
      <c r="D409" s="7" t="s">
        <v>908</v>
      </c>
      <c r="E409" s="2" t="s">
        <v>753</v>
      </c>
      <c r="F409" s="7" t="s">
        <v>914</v>
      </c>
      <c r="G409" s="11">
        <f>12499-517+563</f>
        <v>12545</v>
      </c>
      <c r="H409" s="17">
        <f t="shared" si="28"/>
        <v>13172.25</v>
      </c>
      <c r="I409" s="17">
        <f t="shared" si="29"/>
        <v>13830.862500000001</v>
      </c>
      <c r="J409" s="112">
        <f t="shared" si="30"/>
        <v>14937.331500000002</v>
      </c>
      <c r="K409" s="112">
        <v>14937.331500000002</v>
      </c>
      <c r="L409" s="17">
        <f t="shared" si="27"/>
        <v>8902.6495740000009</v>
      </c>
      <c r="M409" t="s">
        <v>3246</v>
      </c>
    </row>
    <row r="410" spans="1:13" x14ac:dyDescent="0.25">
      <c r="B410" s="6" t="s">
        <v>807</v>
      </c>
      <c r="C410" s="15" t="s">
        <v>264</v>
      </c>
      <c r="D410" s="7" t="s">
        <v>909</v>
      </c>
      <c r="E410" s="2" t="s">
        <v>754</v>
      </c>
      <c r="F410" s="7" t="s">
        <v>914</v>
      </c>
      <c r="G410" s="11">
        <f>14096-517+563</f>
        <v>14142</v>
      </c>
      <c r="H410" s="17">
        <f t="shared" si="28"/>
        <v>14849.1</v>
      </c>
      <c r="I410" s="17">
        <f t="shared" si="29"/>
        <v>15591.555</v>
      </c>
      <c r="J410" s="112">
        <f t="shared" si="30"/>
        <v>16838.879400000002</v>
      </c>
      <c r="K410" s="112">
        <v>16838.879400000002</v>
      </c>
      <c r="L410" s="17">
        <f t="shared" si="27"/>
        <v>10035.9721224</v>
      </c>
      <c r="M410" t="s">
        <v>3246</v>
      </c>
    </row>
    <row r="411" spans="1:13" x14ac:dyDescent="0.25">
      <c r="B411" s="6" t="s">
        <v>808</v>
      </c>
      <c r="C411" s="15" t="s">
        <v>264</v>
      </c>
      <c r="D411" s="7" t="s">
        <v>910</v>
      </c>
      <c r="E411" s="2" t="s">
        <v>755</v>
      </c>
      <c r="F411" s="7" t="s">
        <v>914</v>
      </c>
      <c r="G411" s="11">
        <f>14474-517+563</f>
        <v>14520</v>
      </c>
      <c r="H411" s="17">
        <f t="shared" si="28"/>
        <v>15246</v>
      </c>
      <c r="I411" s="17">
        <f t="shared" si="29"/>
        <v>16008.300000000001</v>
      </c>
      <c r="J411" s="112">
        <f t="shared" si="30"/>
        <v>17288.964000000004</v>
      </c>
      <c r="K411" s="112">
        <v>17288.964000000004</v>
      </c>
      <c r="L411" s="17">
        <f t="shared" si="27"/>
        <v>10304.222544000002</v>
      </c>
      <c r="M411" t="s">
        <v>3246</v>
      </c>
    </row>
    <row r="412" spans="1:13" x14ac:dyDescent="0.25">
      <c r="B412" s="6" t="s">
        <v>809</v>
      </c>
      <c r="C412" s="15" t="s">
        <v>264</v>
      </c>
      <c r="D412" s="7" t="s">
        <v>911</v>
      </c>
      <c r="E412" s="2" t="s">
        <v>756</v>
      </c>
      <c r="F412" s="7" t="s">
        <v>914</v>
      </c>
      <c r="G412" s="11">
        <f>14850-517+563</f>
        <v>14896</v>
      </c>
      <c r="H412" s="17">
        <f t="shared" si="28"/>
        <v>15640.800000000001</v>
      </c>
      <c r="I412" s="17">
        <f t="shared" si="29"/>
        <v>16422.84</v>
      </c>
      <c r="J412" s="112">
        <f t="shared" si="30"/>
        <v>17736.6672</v>
      </c>
      <c r="K412" s="112">
        <v>17736.6672</v>
      </c>
      <c r="L412" s="17">
        <f t="shared" si="27"/>
        <v>10571.0536512</v>
      </c>
      <c r="M412" t="s">
        <v>3246</v>
      </c>
    </row>
    <row r="413" spans="1:13" x14ac:dyDescent="0.25">
      <c r="B413" s="6" t="s">
        <v>810</v>
      </c>
      <c r="C413" s="15" t="s">
        <v>264</v>
      </c>
      <c r="D413" s="7" t="s">
        <v>912</v>
      </c>
      <c r="E413" s="2" t="s">
        <v>757</v>
      </c>
      <c r="F413" s="7" t="s">
        <v>914</v>
      </c>
      <c r="G413" s="11">
        <f>15225-517+563</f>
        <v>15271</v>
      </c>
      <c r="H413" s="17">
        <f t="shared" si="28"/>
        <v>16034.550000000001</v>
      </c>
      <c r="I413" s="17">
        <f t="shared" si="29"/>
        <v>16836.2775</v>
      </c>
      <c r="J413" s="112">
        <f t="shared" si="30"/>
        <v>18183.179700000001</v>
      </c>
      <c r="K413" s="112">
        <v>18183.179700000001</v>
      </c>
      <c r="L413" s="17">
        <f t="shared" si="27"/>
        <v>10837.1751012</v>
      </c>
      <c r="M413" t="s">
        <v>3246</v>
      </c>
    </row>
    <row r="414" spans="1:13" x14ac:dyDescent="0.25">
      <c r="B414" s="6" t="s">
        <v>811</v>
      </c>
      <c r="C414" s="15" t="s">
        <v>264</v>
      </c>
      <c r="D414" s="7" t="s">
        <v>913</v>
      </c>
      <c r="E414" s="2" t="s">
        <v>758</v>
      </c>
      <c r="F414" s="7" t="s">
        <v>914</v>
      </c>
      <c r="G414" s="11">
        <f>15829-517+563</f>
        <v>15875</v>
      </c>
      <c r="H414" s="17">
        <f t="shared" si="28"/>
        <v>16668.75</v>
      </c>
      <c r="I414" s="17">
        <f t="shared" si="29"/>
        <v>17502.1875</v>
      </c>
      <c r="J414" s="112">
        <f t="shared" si="30"/>
        <v>18902.362500000003</v>
      </c>
      <c r="K414" s="112">
        <v>18902.362500000003</v>
      </c>
      <c r="L414" s="17">
        <f t="shared" si="27"/>
        <v>11265.808050000001</v>
      </c>
      <c r="M414" t="s">
        <v>3246</v>
      </c>
    </row>
    <row r="415" spans="1:13" s="62" customFormat="1" x14ac:dyDescent="0.25">
      <c r="A415" s="62" t="s">
        <v>2915</v>
      </c>
      <c r="B415" s="75" t="s">
        <v>2903</v>
      </c>
      <c r="C415" s="68"/>
      <c r="D415" s="63"/>
      <c r="E415" s="64"/>
      <c r="F415" s="63"/>
      <c r="G415" s="65"/>
      <c r="H415" s="17"/>
      <c r="I415" s="17">
        <f t="shared" si="29"/>
        <v>0</v>
      </c>
      <c r="J415" s="113"/>
      <c r="K415" s="70"/>
      <c r="L415" s="70"/>
    </row>
    <row r="416" spans="1:13" x14ac:dyDescent="0.25">
      <c r="A416" s="4"/>
      <c r="B416" s="6" t="s">
        <v>812</v>
      </c>
      <c r="C416" s="15" t="s">
        <v>759</v>
      </c>
      <c r="D416" s="7" t="s">
        <v>251</v>
      </c>
      <c r="E416" s="2" t="s">
        <v>185</v>
      </c>
      <c r="F416" s="7" t="s">
        <v>705</v>
      </c>
      <c r="G416" s="23">
        <f>8243-517+563</f>
        <v>8289</v>
      </c>
      <c r="H416" s="17">
        <f t="shared" si="28"/>
        <v>8703.4500000000007</v>
      </c>
      <c r="I416" s="17">
        <f t="shared" si="29"/>
        <v>9138.6225000000013</v>
      </c>
      <c r="J416" s="112">
        <f t="shared" si="30"/>
        <v>9869.7123000000029</v>
      </c>
      <c r="K416" s="112">
        <f>J416*1.11</f>
        <v>10955.380653000004</v>
      </c>
      <c r="L416" s="17">
        <f t="shared" si="27"/>
        <v>6529.406869188002</v>
      </c>
      <c r="M416" t="s">
        <v>4001</v>
      </c>
    </row>
    <row r="417" spans="1:17" x14ac:dyDescent="0.25">
      <c r="A417" s="30"/>
      <c r="B417" s="6" t="s">
        <v>813</v>
      </c>
      <c r="C417" s="15" t="s">
        <v>759</v>
      </c>
      <c r="D417" s="7" t="s">
        <v>864</v>
      </c>
      <c r="E417" s="2" t="s">
        <v>709</v>
      </c>
      <c r="F417" s="7" t="s">
        <v>705</v>
      </c>
      <c r="G417" s="23">
        <f>9276-517+563</f>
        <v>9322</v>
      </c>
      <c r="H417" s="17">
        <f t="shared" si="28"/>
        <v>9788.1</v>
      </c>
      <c r="I417" s="17">
        <f t="shared" si="29"/>
        <v>10277.505000000001</v>
      </c>
      <c r="J417" s="112">
        <f t="shared" si="30"/>
        <v>11099.705400000003</v>
      </c>
      <c r="K417" s="112">
        <f t="shared" ref="K417:K467" si="31">J417*1.11</f>
        <v>12320.672994000004</v>
      </c>
      <c r="L417" s="17">
        <f t="shared" si="27"/>
        <v>7343.1211044240017</v>
      </c>
      <c r="M417" t="s">
        <v>4001</v>
      </c>
      <c r="O417" s="54"/>
      <c r="Q417" s="54"/>
    </row>
    <row r="418" spans="1:17" x14ac:dyDescent="0.25">
      <c r="B418" s="6" t="s">
        <v>814</v>
      </c>
      <c r="C418" s="15" t="s">
        <v>759</v>
      </c>
      <c r="D418" s="7" t="s">
        <v>865</v>
      </c>
      <c r="E418" s="2" t="s">
        <v>710</v>
      </c>
      <c r="F418" s="7" t="s">
        <v>706</v>
      </c>
      <c r="G418" s="23">
        <f>9511-517+563</f>
        <v>9557</v>
      </c>
      <c r="H418" s="17">
        <f t="shared" si="28"/>
        <v>10034.85</v>
      </c>
      <c r="I418" s="17">
        <f t="shared" si="29"/>
        <v>10536.592500000001</v>
      </c>
      <c r="J418" s="112">
        <f t="shared" si="30"/>
        <v>11379.519900000001</v>
      </c>
      <c r="K418" s="112">
        <f t="shared" si="31"/>
        <v>12631.267089000003</v>
      </c>
      <c r="L418" s="17">
        <f t="shared" si="27"/>
        <v>7528.2351850440009</v>
      </c>
      <c r="M418" t="s">
        <v>4001</v>
      </c>
    </row>
    <row r="419" spans="1:17" x14ac:dyDescent="0.25">
      <c r="B419" s="6" t="s">
        <v>815</v>
      </c>
      <c r="C419" s="15" t="s">
        <v>759</v>
      </c>
      <c r="D419" s="7" t="s">
        <v>866</v>
      </c>
      <c r="E419" s="2" t="s">
        <v>711</v>
      </c>
      <c r="F419" s="7" t="s">
        <v>706</v>
      </c>
      <c r="G419" s="23">
        <f>9775-517+563</f>
        <v>9821</v>
      </c>
      <c r="H419" s="17">
        <f t="shared" si="28"/>
        <v>10312.050000000001</v>
      </c>
      <c r="I419" s="17">
        <f t="shared" si="29"/>
        <v>10827.652500000002</v>
      </c>
      <c r="J419" s="112">
        <f t="shared" si="30"/>
        <v>11693.864700000004</v>
      </c>
      <c r="K419" s="112">
        <f t="shared" si="31"/>
        <v>12980.189817000006</v>
      </c>
      <c r="L419" s="17">
        <f t="shared" si="27"/>
        <v>7736.1931309320034</v>
      </c>
      <c r="M419" t="s">
        <v>4001</v>
      </c>
    </row>
    <row r="420" spans="1:17" x14ac:dyDescent="0.25">
      <c r="B420" s="6" t="s">
        <v>816</v>
      </c>
      <c r="C420" s="15" t="s">
        <v>759</v>
      </c>
      <c r="D420" s="7" t="s">
        <v>867</v>
      </c>
      <c r="E420" s="2" t="s">
        <v>712</v>
      </c>
      <c r="F420" s="7" t="s">
        <v>706</v>
      </c>
      <c r="G420" s="23">
        <f>10039-517+563</f>
        <v>10085</v>
      </c>
      <c r="H420" s="17">
        <f t="shared" si="28"/>
        <v>10589.25</v>
      </c>
      <c r="I420" s="17">
        <f t="shared" si="29"/>
        <v>11118.7125</v>
      </c>
      <c r="J420" s="112">
        <f t="shared" si="30"/>
        <v>12008.209500000001</v>
      </c>
      <c r="K420" s="112">
        <f t="shared" si="31"/>
        <v>13329.112545000002</v>
      </c>
      <c r="L420" s="17">
        <f t="shared" si="27"/>
        <v>7944.1510768200005</v>
      </c>
      <c r="M420" t="s">
        <v>4001</v>
      </c>
    </row>
    <row r="421" spans="1:17" x14ac:dyDescent="0.25">
      <c r="B421" s="6" t="s">
        <v>817</v>
      </c>
      <c r="C421" s="15" t="s">
        <v>759</v>
      </c>
      <c r="D421" s="7" t="s">
        <v>868</v>
      </c>
      <c r="E421" s="2" t="s">
        <v>713</v>
      </c>
      <c r="F421" s="7" t="s">
        <v>706</v>
      </c>
      <c r="G421" s="23">
        <f>10303-517+563</f>
        <v>10349</v>
      </c>
      <c r="H421" s="17">
        <f t="shared" si="28"/>
        <v>10866.45</v>
      </c>
      <c r="I421" s="17">
        <f t="shared" si="29"/>
        <v>11409.772500000001</v>
      </c>
      <c r="J421" s="112">
        <f t="shared" si="30"/>
        <v>12322.554300000002</v>
      </c>
      <c r="K421" s="112">
        <f t="shared" si="31"/>
        <v>13678.035273000003</v>
      </c>
      <c r="L421" s="17">
        <f t="shared" si="27"/>
        <v>8152.1090227080012</v>
      </c>
      <c r="M421" t="s">
        <v>4001</v>
      </c>
    </row>
    <row r="422" spans="1:17" x14ac:dyDescent="0.25">
      <c r="B422" s="6" t="s">
        <v>818</v>
      </c>
      <c r="C422" s="15" t="s">
        <v>759</v>
      </c>
      <c r="D422" s="7" t="s">
        <v>869</v>
      </c>
      <c r="E422" s="2" t="s">
        <v>714</v>
      </c>
      <c r="F422" s="7" t="s">
        <v>706</v>
      </c>
      <c r="G422" s="23">
        <f>10567-517+563</f>
        <v>10613</v>
      </c>
      <c r="H422" s="17">
        <f t="shared" si="28"/>
        <v>11143.65</v>
      </c>
      <c r="I422" s="17">
        <f t="shared" si="29"/>
        <v>11700.8325</v>
      </c>
      <c r="J422" s="112">
        <f t="shared" si="30"/>
        <v>12636.899100000001</v>
      </c>
      <c r="K422" s="112">
        <f t="shared" si="31"/>
        <v>14026.958001000003</v>
      </c>
      <c r="L422" s="17">
        <f t="shared" si="27"/>
        <v>8360.066968596002</v>
      </c>
      <c r="M422" t="s">
        <v>4001</v>
      </c>
    </row>
    <row r="423" spans="1:17" x14ac:dyDescent="0.25">
      <c r="B423" s="6" t="s">
        <v>819</v>
      </c>
      <c r="C423" s="15" t="s">
        <v>759</v>
      </c>
      <c r="D423" s="7" t="s">
        <v>870</v>
      </c>
      <c r="E423" s="2" t="s">
        <v>715</v>
      </c>
      <c r="F423" s="7" t="s">
        <v>706</v>
      </c>
      <c r="G423" s="23">
        <f>10831-517+563</f>
        <v>10877</v>
      </c>
      <c r="H423" s="17">
        <f t="shared" si="28"/>
        <v>11420.85</v>
      </c>
      <c r="I423" s="17">
        <f t="shared" si="29"/>
        <v>11991.892500000002</v>
      </c>
      <c r="J423" s="112">
        <f t="shared" si="30"/>
        <v>12951.243900000003</v>
      </c>
      <c r="K423" s="112">
        <f t="shared" si="31"/>
        <v>14375.880729000004</v>
      </c>
      <c r="L423" s="17">
        <f t="shared" si="27"/>
        <v>8568.0249144840018</v>
      </c>
      <c r="M423" t="s">
        <v>4001</v>
      </c>
    </row>
    <row r="424" spans="1:17" x14ac:dyDescent="0.25">
      <c r="B424" s="6" t="s">
        <v>820</v>
      </c>
      <c r="C424" s="15" t="s">
        <v>759</v>
      </c>
      <c r="D424" s="7" t="s">
        <v>871</v>
      </c>
      <c r="E424" s="2" t="s">
        <v>716</v>
      </c>
      <c r="F424" s="7" t="s">
        <v>706</v>
      </c>
      <c r="G424" s="23">
        <f>11095-517+563</f>
        <v>11141</v>
      </c>
      <c r="H424" s="17">
        <f t="shared" si="28"/>
        <v>11698.050000000001</v>
      </c>
      <c r="I424" s="17">
        <f t="shared" si="29"/>
        <v>12282.952500000001</v>
      </c>
      <c r="J424" s="112">
        <f t="shared" si="30"/>
        <v>13265.588700000002</v>
      </c>
      <c r="K424" s="112">
        <f t="shared" si="31"/>
        <v>14724.803457000004</v>
      </c>
      <c r="L424" s="17">
        <f t="shared" si="27"/>
        <v>8775.9828603720016</v>
      </c>
      <c r="M424" t="s">
        <v>4001</v>
      </c>
    </row>
    <row r="425" spans="1:17" x14ac:dyDescent="0.25">
      <c r="B425" s="6" t="s">
        <v>821</v>
      </c>
      <c r="C425" s="15" t="s">
        <v>759</v>
      </c>
      <c r="D425" s="7" t="s">
        <v>872</v>
      </c>
      <c r="E425" s="2" t="s">
        <v>717</v>
      </c>
      <c r="F425" s="7" t="s">
        <v>706</v>
      </c>
      <c r="G425" s="23">
        <f>11359-517+563</f>
        <v>11405</v>
      </c>
      <c r="H425" s="17">
        <f t="shared" si="28"/>
        <v>11975.25</v>
      </c>
      <c r="I425" s="17">
        <f t="shared" si="29"/>
        <v>12574.012500000001</v>
      </c>
      <c r="J425" s="112">
        <f t="shared" si="30"/>
        <v>13579.933500000001</v>
      </c>
      <c r="K425" s="112">
        <f t="shared" si="31"/>
        <v>15073.726185000003</v>
      </c>
      <c r="L425" s="17">
        <f t="shared" si="27"/>
        <v>8983.9408062600014</v>
      </c>
      <c r="M425" t="s">
        <v>4001</v>
      </c>
    </row>
    <row r="426" spans="1:17" x14ac:dyDescent="0.25">
      <c r="B426" s="6" t="s">
        <v>822</v>
      </c>
      <c r="C426" s="15" t="s">
        <v>759</v>
      </c>
      <c r="D426" s="7" t="s">
        <v>873</v>
      </c>
      <c r="E426" s="2" t="s">
        <v>718</v>
      </c>
      <c r="F426" s="7" t="s">
        <v>706</v>
      </c>
      <c r="G426" s="23">
        <f>11731-517+563</f>
        <v>11777</v>
      </c>
      <c r="H426" s="17">
        <f t="shared" si="28"/>
        <v>12365.85</v>
      </c>
      <c r="I426" s="17">
        <f t="shared" si="29"/>
        <v>12984.142500000002</v>
      </c>
      <c r="J426" s="112">
        <f t="shared" si="30"/>
        <v>14022.873900000002</v>
      </c>
      <c r="K426" s="112">
        <f t="shared" si="31"/>
        <v>15565.390029000004</v>
      </c>
      <c r="L426" s="17">
        <f t="shared" si="27"/>
        <v>9276.9724572840023</v>
      </c>
      <c r="M426" t="s">
        <v>4001</v>
      </c>
    </row>
    <row r="427" spans="1:17" x14ac:dyDescent="0.25">
      <c r="B427" s="6" t="s">
        <v>823</v>
      </c>
      <c r="C427" s="15" t="s">
        <v>759</v>
      </c>
      <c r="D427" s="7" t="s">
        <v>874</v>
      </c>
      <c r="E427" s="2" t="s">
        <v>719</v>
      </c>
      <c r="F427" s="7" t="s">
        <v>706</v>
      </c>
      <c r="G427" s="23">
        <f>11887-517+563</f>
        <v>11933</v>
      </c>
      <c r="H427" s="17">
        <f t="shared" si="28"/>
        <v>12529.65</v>
      </c>
      <c r="I427" s="17">
        <f t="shared" si="29"/>
        <v>13156.1325</v>
      </c>
      <c r="J427" s="112">
        <f t="shared" si="30"/>
        <v>14208.623100000001</v>
      </c>
      <c r="K427" s="112">
        <f t="shared" si="31"/>
        <v>15771.571641000002</v>
      </c>
      <c r="L427" s="17">
        <f t="shared" si="27"/>
        <v>9399.856698036001</v>
      </c>
      <c r="M427" t="s">
        <v>4001</v>
      </c>
    </row>
    <row r="428" spans="1:17" x14ac:dyDescent="0.25">
      <c r="A428" t="s">
        <v>2914</v>
      </c>
      <c r="B428" s="6" t="s">
        <v>824</v>
      </c>
      <c r="C428" s="15" t="s">
        <v>759</v>
      </c>
      <c r="D428" s="7" t="s">
        <v>875</v>
      </c>
      <c r="E428" s="2" t="s">
        <v>720</v>
      </c>
      <c r="F428" s="7" t="s">
        <v>706</v>
      </c>
      <c r="G428" s="23">
        <f>12151-517+563</f>
        <v>12197</v>
      </c>
      <c r="H428" s="17">
        <f t="shared" si="28"/>
        <v>12806.85</v>
      </c>
      <c r="I428" s="17">
        <f t="shared" si="29"/>
        <v>13447.192500000001</v>
      </c>
      <c r="J428" s="112">
        <f t="shared" si="30"/>
        <v>14522.967900000001</v>
      </c>
      <c r="K428" s="112">
        <f t="shared" si="31"/>
        <v>16120.494369000004</v>
      </c>
      <c r="L428" s="17">
        <f t="shared" si="27"/>
        <v>9607.8146439240008</v>
      </c>
      <c r="M428" t="s">
        <v>4001</v>
      </c>
    </row>
    <row r="429" spans="1:17" x14ac:dyDescent="0.25">
      <c r="B429" s="6" t="s">
        <v>825</v>
      </c>
      <c r="C429" s="15" t="s">
        <v>759</v>
      </c>
      <c r="D429" s="7" t="s">
        <v>262</v>
      </c>
      <c r="E429" s="2" t="s">
        <v>196</v>
      </c>
      <c r="F429" s="7" t="s">
        <v>705</v>
      </c>
      <c r="G429" s="11">
        <f>8348-517+563</f>
        <v>8394</v>
      </c>
      <c r="H429" s="17">
        <f t="shared" si="28"/>
        <v>8813.7000000000007</v>
      </c>
      <c r="I429" s="17">
        <f t="shared" si="29"/>
        <v>9254.385000000002</v>
      </c>
      <c r="J429" s="112">
        <f t="shared" si="30"/>
        <v>9994.7358000000022</v>
      </c>
      <c r="K429" s="112">
        <f t="shared" si="31"/>
        <v>11094.156738000003</v>
      </c>
      <c r="L429" s="17">
        <f t="shared" si="27"/>
        <v>6612.1174158480017</v>
      </c>
      <c r="M429" t="s">
        <v>4001</v>
      </c>
    </row>
    <row r="430" spans="1:17" x14ac:dyDescent="0.25">
      <c r="B430" s="6" t="s">
        <v>826</v>
      </c>
      <c r="C430" s="15" t="s">
        <v>759</v>
      </c>
      <c r="D430" s="7" t="s">
        <v>876</v>
      </c>
      <c r="E430" s="2" t="s">
        <v>721</v>
      </c>
      <c r="F430" s="7" t="s">
        <v>705</v>
      </c>
      <c r="G430" s="11">
        <f>9358-517+563</f>
        <v>9404</v>
      </c>
      <c r="H430" s="17">
        <f t="shared" si="28"/>
        <v>9874.2000000000007</v>
      </c>
      <c r="I430" s="17">
        <f t="shared" si="29"/>
        <v>10367.910000000002</v>
      </c>
      <c r="J430" s="112">
        <f t="shared" si="30"/>
        <v>11197.342800000002</v>
      </c>
      <c r="K430" s="112">
        <f t="shared" si="31"/>
        <v>12429.050508000004</v>
      </c>
      <c r="L430" s="17">
        <f t="shared" si="27"/>
        <v>7407.7141027680018</v>
      </c>
      <c r="M430" t="s">
        <v>4001</v>
      </c>
    </row>
    <row r="431" spans="1:17" x14ac:dyDescent="0.25">
      <c r="B431" s="6" t="s">
        <v>827</v>
      </c>
      <c r="C431" s="15" t="s">
        <v>759</v>
      </c>
      <c r="D431" s="7" t="s">
        <v>877</v>
      </c>
      <c r="E431" s="2" t="s">
        <v>722</v>
      </c>
      <c r="F431" s="7" t="s">
        <v>706</v>
      </c>
      <c r="G431" s="11">
        <f>9626-517+563</f>
        <v>9672</v>
      </c>
      <c r="H431" s="17">
        <f t="shared" si="28"/>
        <v>10155.6</v>
      </c>
      <c r="I431" s="17">
        <f t="shared" si="29"/>
        <v>10663.380000000001</v>
      </c>
      <c r="J431" s="112">
        <f t="shared" si="30"/>
        <v>11516.450400000002</v>
      </c>
      <c r="K431" s="112">
        <f t="shared" si="31"/>
        <v>12783.259944000003</v>
      </c>
      <c r="L431" s="17">
        <f t="shared" si="27"/>
        <v>7618.8229266240014</v>
      </c>
      <c r="M431" t="s">
        <v>4001</v>
      </c>
    </row>
    <row r="432" spans="1:17" x14ac:dyDescent="0.25">
      <c r="B432" s="6" t="s">
        <v>828</v>
      </c>
      <c r="C432" s="15" t="s">
        <v>759</v>
      </c>
      <c r="D432" s="7" t="s">
        <v>878</v>
      </c>
      <c r="E432" s="2" t="s">
        <v>723</v>
      </c>
      <c r="F432" s="7" t="s">
        <v>706</v>
      </c>
      <c r="G432" s="11">
        <f>9806-517+563</f>
        <v>9852</v>
      </c>
      <c r="H432" s="17">
        <f t="shared" si="28"/>
        <v>10344.6</v>
      </c>
      <c r="I432" s="17">
        <f t="shared" si="29"/>
        <v>10861.830000000002</v>
      </c>
      <c r="J432" s="112">
        <f t="shared" si="30"/>
        <v>11730.776400000002</v>
      </c>
      <c r="K432" s="112">
        <f t="shared" si="31"/>
        <v>13021.161804000003</v>
      </c>
      <c r="L432" s="17">
        <f t="shared" si="27"/>
        <v>7760.6124351840017</v>
      </c>
      <c r="M432" t="s">
        <v>4001</v>
      </c>
    </row>
    <row r="433" spans="2:13" x14ac:dyDescent="0.25">
      <c r="B433" s="6" t="s">
        <v>829</v>
      </c>
      <c r="C433" s="15" t="s">
        <v>759</v>
      </c>
      <c r="D433" s="7" t="s">
        <v>879</v>
      </c>
      <c r="E433" s="2" t="s">
        <v>724</v>
      </c>
      <c r="F433" s="7" t="s">
        <v>706</v>
      </c>
      <c r="G433" s="11">
        <f>9831-517+563</f>
        <v>9877</v>
      </c>
      <c r="H433" s="17">
        <f t="shared" si="28"/>
        <v>10370.85</v>
      </c>
      <c r="I433" s="17">
        <f t="shared" si="29"/>
        <v>10889.392500000002</v>
      </c>
      <c r="J433" s="112">
        <f t="shared" si="30"/>
        <v>11760.543900000002</v>
      </c>
      <c r="K433" s="112">
        <f t="shared" si="31"/>
        <v>13054.203729000004</v>
      </c>
      <c r="L433" s="17">
        <f t="shared" si="27"/>
        <v>7780.3054224840025</v>
      </c>
      <c r="M433" t="s">
        <v>4001</v>
      </c>
    </row>
    <row r="434" spans="2:13" x14ac:dyDescent="0.25">
      <c r="B434" s="6" t="s">
        <v>830</v>
      </c>
      <c r="C434" s="15" t="s">
        <v>759</v>
      </c>
      <c r="D434" s="7" t="s">
        <v>880</v>
      </c>
      <c r="E434" s="2" t="s">
        <v>725</v>
      </c>
      <c r="F434" s="7" t="s">
        <v>706</v>
      </c>
      <c r="G434" s="11">
        <f>10087-517+563</f>
        <v>10133</v>
      </c>
      <c r="H434" s="17">
        <f t="shared" si="28"/>
        <v>10639.65</v>
      </c>
      <c r="I434" s="17">
        <f t="shared" si="29"/>
        <v>11171.6325</v>
      </c>
      <c r="J434" s="112">
        <f t="shared" si="30"/>
        <v>12065.3631</v>
      </c>
      <c r="K434" s="112">
        <f t="shared" si="31"/>
        <v>13392.553041000001</v>
      </c>
      <c r="L434" s="17">
        <f t="shared" si="27"/>
        <v>7981.961612436</v>
      </c>
      <c r="M434" t="s">
        <v>4001</v>
      </c>
    </row>
    <row r="435" spans="2:13" x14ac:dyDescent="0.25">
      <c r="B435" s="6" t="s">
        <v>831</v>
      </c>
      <c r="C435" s="15" t="s">
        <v>759</v>
      </c>
      <c r="D435" s="7" t="s">
        <v>881</v>
      </c>
      <c r="E435" s="2" t="s">
        <v>726</v>
      </c>
      <c r="F435" s="7" t="s">
        <v>706</v>
      </c>
      <c r="G435" s="11">
        <f>10342-517+563</f>
        <v>10388</v>
      </c>
      <c r="H435" s="17">
        <f t="shared" si="28"/>
        <v>10907.4</v>
      </c>
      <c r="I435" s="17">
        <f t="shared" si="29"/>
        <v>11452.77</v>
      </c>
      <c r="J435" s="112">
        <f t="shared" si="30"/>
        <v>12368.991600000001</v>
      </c>
      <c r="K435" s="112">
        <f t="shared" si="31"/>
        <v>13729.580676000003</v>
      </c>
      <c r="L435" s="17">
        <f t="shared" si="27"/>
        <v>8182.8300828960018</v>
      </c>
      <c r="M435" t="s">
        <v>4001</v>
      </c>
    </row>
    <row r="436" spans="2:13" x14ac:dyDescent="0.25">
      <c r="B436" s="6" t="s">
        <v>832</v>
      </c>
      <c r="C436" s="15" t="s">
        <v>759</v>
      </c>
      <c r="D436" s="7" t="s">
        <v>882</v>
      </c>
      <c r="E436" s="2" t="s">
        <v>727</v>
      </c>
      <c r="F436" s="7" t="s">
        <v>706</v>
      </c>
      <c r="G436" s="11">
        <f>10567-517+563</f>
        <v>10613</v>
      </c>
      <c r="H436" s="17">
        <f t="shared" si="28"/>
        <v>11143.65</v>
      </c>
      <c r="I436" s="17">
        <f t="shared" si="29"/>
        <v>11700.8325</v>
      </c>
      <c r="J436" s="112">
        <f t="shared" si="30"/>
        <v>12636.899100000001</v>
      </c>
      <c r="K436" s="112">
        <f t="shared" si="31"/>
        <v>14026.958001000003</v>
      </c>
      <c r="L436" s="17">
        <f t="shared" si="27"/>
        <v>8360.066968596002</v>
      </c>
      <c r="M436" t="s">
        <v>4001</v>
      </c>
    </row>
    <row r="437" spans="2:13" x14ac:dyDescent="0.25">
      <c r="B437" s="6" t="s">
        <v>833</v>
      </c>
      <c r="C437" s="15" t="s">
        <v>759</v>
      </c>
      <c r="D437" s="7" t="s">
        <v>883</v>
      </c>
      <c r="E437" s="2" t="s">
        <v>728</v>
      </c>
      <c r="F437" s="7" t="s">
        <v>706</v>
      </c>
      <c r="G437" s="11">
        <f>11818-517+563</f>
        <v>11864</v>
      </c>
      <c r="H437" s="17">
        <f t="shared" si="28"/>
        <v>12457.2</v>
      </c>
      <c r="I437" s="17">
        <f t="shared" si="29"/>
        <v>13080.060000000001</v>
      </c>
      <c r="J437" s="112">
        <f t="shared" si="30"/>
        <v>14126.464800000002</v>
      </c>
      <c r="K437" s="112">
        <f t="shared" si="31"/>
        <v>15680.375928000003</v>
      </c>
      <c r="L437" s="17">
        <f t="shared" si="27"/>
        <v>9345.5040530880015</v>
      </c>
      <c r="M437" t="s">
        <v>4001</v>
      </c>
    </row>
    <row r="438" spans="2:13" x14ac:dyDescent="0.25">
      <c r="B438" s="6" t="s">
        <v>834</v>
      </c>
      <c r="C438" s="15" t="s">
        <v>759</v>
      </c>
      <c r="D438" s="7" t="s">
        <v>884</v>
      </c>
      <c r="E438" s="2" t="s">
        <v>729</v>
      </c>
      <c r="F438" s="7" t="s">
        <v>706</v>
      </c>
      <c r="G438" s="11">
        <f>13159-517+563</f>
        <v>13205</v>
      </c>
      <c r="H438" s="17">
        <f t="shared" si="28"/>
        <v>13865.25</v>
      </c>
      <c r="I438" s="17">
        <f t="shared" si="29"/>
        <v>14558.512500000001</v>
      </c>
      <c r="J438" s="112">
        <f t="shared" si="30"/>
        <v>15723.193500000001</v>
      </c>
      <c r="K438" s="112">
        <f t="shared" si="31"/>
        <v>17452.744785000003</v>
      </c>
      <c r="L438" s="17">
        <f t="shared" si="27"/>
        <v>10401.835891860001</v>
      </c>
      <c r="M438" t="s">
        <v>4001</v>
      </c>
    </row>
    <row r="439" spans="2:13" x14ac:dyDescent="0.25">
      <c r="B439" s="6" t="s">
        <v>835</v>
      </c>
      <c r="C439" s="15" t="s">
        <v>759</v>
      </c>
      <c r="D439" s="7" t="s">
        <v>885</v>
      </c>
      <c r="E439" s="2" t="s">
        <v>730</v>
      </c>
      <c r="F439" s="7" t="s">
        <v>706</v>
      </c>
      <c r="G439" s="11">
        <f>13486-517+563</f>
        <v>13532</v>
      </c>
      <c r="H439" s="17">
        <f t="shared" si="28"/>
        <v>14208.6</v>
      </c>
      <c r="I439" s="17">
        <f t="shared" si="29"/>
        <v>14919.03</v>
      </c>
      <c r="J439" s="112">
        <f t="shared" si="30"/>
        <v>16112.552400000002</v>
      </c>
      <c r="K439" s="112">
        <f t="shared" si="31"/>
        <v>17884.933164000005</v>
      </c>
      <c r="L439" s="17">
        <f t="shared" si="27"/>
        <v>10659.420165744003</v>
      </c>
      <c r="M439" t="s">
        <v>4001</v>
      </c>
    </row>
    <row r="440" spans="2:13" x14ac:dyDescent="0.25">
      <c r="B440" s="6" t="s">
        <v>836</v>
      </c>
      <c r="C440" s="15" t="s">
        <v>759</v>
      </c>
      <c r="D440" s="7" t="s">
        <v>886</v>
      </c>
      <c r="E440" s="2" t="s">
        <v>731</v>
      </c>
      <c r="F440" s="7" t="s">
        <v>706</v>
      </c>
      <c r="G440" s="11">
        <f>13812-517+563</f>
        <v>13858</v>
      </c>
      <c r="H440" s="17">
        <f t="shared" si="28"/>
        <v>14550.900000000001</v>
      </c>
      <c r="I440" s="17">
        <f t="shared" si="29"/>
        <v>15278.445000000002</v>
      </c>
      <c r="J440" s="112">
        <f t="shared" si="30"/>
        <v>16500.720600000004</v>
      </c>
      <c r="K440" s="112">
        <f t="shared" si="31"/>
        <v>18315.799866000005</v>
      </c>
      <c r="L440" s="17">
        <f t="shared" si="27"/>
        <v>10916.216720136003</v>
      </c>
      <c r="M440" t="s">
        <v>4001</v>
      </c>
    </row>
    <row r="441" spans="2:13" x14ac:dyDescent="0.25">
      <c r="B441" s="6" t="s">
        <v>837</v>
      </c>
      <c r="C441" s="15" t="s">
        <v>759</v>
      </c>
      <c r="D441" s="7" t="s">
        <v>887</v>
      </c>
      <c r="E441" s="2" t="s">
        <v>732</v>
      </c>
      <c r="F441" s="7" t="s">
        <v>706</v>
      </c>
      <c r="G441" s="11">
        <f>14138-517+563</f>
        <v>14184</v>
      </c>
      <c r="H441" s="17">
        <f t="shared" si="28"/>
        <v>14893.2</v>
      </c>
      <c r="I441" s="17">
        <f t="shared" si="29"/>
        <v>15637.86</v>
      </c>
      <c r="J441" s="112">
        <f t="shared" si="30"/>
        <v>16888.888800000001</v>
      </c>
      <c r="K441" s="112">
        <f t="shared" si="31"/>
        <v>18746.666568000001</v>
      </c>
      <c r="L441" s="17">
        <f t="shared" si="27"/>
        <v>11173.013274528001</v>
      </c>
      <c r="M441" t="s">
        <v>4001</v>
      </c>
    </row>
    <row r="442" spans="2:13" x14ac:dyDescent="0.25">
      <c r="B442" s="6" t="s">
        <v>838</v>
      </c>
      <c r="C442" s="15" t="s">
        <v>759</v>
      </c>
      <c r="D442" s="7" t="s">
        <v>888</v>
      </c>
      <c r="E442" s="2" t="s">
        <v>733</v>
      </c>
      <c r="F442" s="7" t="s">
        <v>706</v>
      </c>
      <c r="G442" s="11">
        <f>8965-517+563</f>
        <v>9011</v>
      </c>
      <c r="H442" s="17">
        <f t="shared" si="28"/>
        <v>9461.5500000000011</v>
      </c>
      <c r="I442" s="17">
        <f t="shared" si="29"/>
        <v>9934.6275000000023</v>
      </c>
      <c r="J442" s="112">
        <f t="shared" si="30"/>
        <v>10729.397700000003</v>
      </c>
      <c r="K442" s="112">
        <f t="shared" si="31"/>
        <v>11909.631447000005</v>
      </c>
      <c r="L442" s="17">
        <f t="shared" si="27"/>
        <v>7098.1403424120026</v>
      </c>
      <c r="M442" t="s">
        <v>4001</v>
      </c>
    </row>
    <row r="443" spans="2:13" x14ac:dyDescent="0.25">
      <c r="B443" s="6" t="s">
        <v>839</v>
      </c>
      <c r="C443" s="15" t="s">
        <v>759</v>
      </c>
      <c r="D443" s="7" t="s">
        <v>889</v>
      </c>
      <c r="E443" s="2" t="s">
        <v>734</v>
      </c>
      <c r="F443" s="7" t="s">
        <v>706</v>
      </c>
      <c r="G443" s="11">
        <f>10005-517+563</f>
        <v>10051</v>
      </c>
      <c r="H443" s="17">
        <f t="shared" si="28"/>
        <v>10553.550000000001</v>
      </c>
      <c r="I443" s="17">
        <f t="shared" si="29"/>
        <v>11081.227500000001</v>
      </c>
      <c r="J443" s="112">
        <f t="shared" si="30"/>
        <v>11967.725700000001</v>
      </c>
      <c r="K443" s="112">
        <f t="shared" si="31"/>
        <v>13284.175527000001</v>
      </c>
      <c r="L443" s="17">
        <f t="shared" si="27"/>
        <v>7917.3686140920008</v>
      </c>
      <c r="M443" t="s">
        <v>4001</v>
      </c>
    </row>
    <row r="444" spans="2:13" x14ac:dyDescent="0.25">
      <c r="B444" s="6" t="s">
        <v>840</v>
      </c>
      <c r="C444" s="15" t="s">
        <v>759</v>
      </c>
      <c r="D444" s="7" t="s">
        <v>890</v>
      </c>
      <c r="E444" s="2" t="s">
        <v>735</v>
      </c>
      <c r="F444" s="7" t="s">
        <v>915</v>
      </c>
      <c r="G444" s="11">
        <f>10294-517+563</f>
        <v>10340</v>
      </c>
      <c r="H444" s="17">
        <f t="shared" si="28"/>
        <v>10857</v>
      </c>
      <c r="I444" s="17">
        <f t="shared" si="29"/>
        <v>11399.85</v>
      </c>
      <c r="J444" s="112">
        <f t="shared" si="30"/>
        <v>12311.838000000002</v>
      </c>
      <c r="K444" s="112">
        <f t="shared" si="31"/>
        <v>13666.140180000002</v>
      </c>
      <c r="L444" s="17">
        <f t="shared" si="27"/>
        <v>8145.0195472800006</v>
      </c>
      <c r="M444" t="s">
        <v>4001</v>
      </c>
    </row>
    <row r="445" spans="2:13" x14ac:dyDescent="0.25">
      <c r="B445" s="6" t="s">
        <v>841</v>
      </c>
      <c r="C445" s="15" t="s">
        <v>759</v>
      </c>
      <c r="D445" s="7" t="s">
        <v>891</v>
      </c>
      <c r="E445" s="2" t="s">
        <v>736</v>
      </c>
      <c r="F445" s="7" t="s">
        <v>915</v>
      </c>
      <c r="G445" s="11">
        <f>10479-517+563</f>
        <v>10525</v>
      </c>
      <c r="H445" s="17">
        <f t="shared" si="28"/>
        <v>11051.25</v>
      </c>
      <c r="I445" s="17">
        <f t="shared" si="29"/>
        <v>11603.8125</v>
      </c>
      <c r="J445" s="112">
        <f t="shared" si="30"/>
        <v>12532.1175</v>
      </c>
      <c r="K445" s="112">
        <f t="shared" si="31"/>
        <v>13910.650425000002</v>
      </c>
      <c r="L445" s="17">
        <f t="shared" si="27"/>
        <v>8290.7476533000008</v>
      </c>
      <c r="M445" t="s">
        <v>4001</v>
      </c>
    </row>
    <row r="446" spans="2:13" x14ac:dyDescent="0.25">
      <c r="B446" s="6" t="s">
        <v>842</v>
      </c>
      <c r="C446" s="15" t="s">
        <v>759</v>
      </c>
      <c r="D446" s="7" t="s">
        <v>892</v>
      </c>
      <c r="E446" s="2" t="s">
        <v>737</v>
      </c>
      <c r="F446" s="7" t="s">
        <v>915</v>
      </c>
      <c r="G446" s="11">
        <f>10651-517+563</f>
        <v>10697</v>
      </c>
      <c r="H446" s="17">
        <f t="shared" si="28"/>
        <v>11231.85</v>
      </c>
      <c r="I446" s="17">
        <f t="shared" si="29"/>
        <v>11793.442500000001</v>
      </c>
      <c r="J446" s="112">
        <f t="shared" si="30"/>
        <v>12736.917900000002</v>
      </c>
      <c r="K446" s="112">
        <f t="shared" si="31"/>
        <v>14137.978869000004</v>
      </c>
      <c r="L446" s="17">
        <f t="shared" si="27"/>
        <v>8426.2354059240024</v>
      </c>
      <c r="M446" t="s">
        <v>4001</v>
      </c>
    </row>
    <row r="447" spans="2:13" x14ac:dyDescent="0.25">
      <c r="B447" s="6" t="s">
        <v>843</v>
      </c>
      <c r="C447" s="15" t="s">
        <v>759</v>
      </c>
      <c r="D447" s="7" t="s">
        <v>893</v>
      </c>
      <c r="E447" s="2" t="s">
        <v>738</v>
      </c>
      <c r="F447" s="7" t="s">
        <v>915</v>
      </c>
      <c r="G447" s="11">
        <f>10937-517+563</f>
        <v>10983</v>
      </c>
      <c r="H447" s="17">
        <f t="shared" si="28"/>
        <v>11532.15</v>
      </c>
      <c r="I447" s="17">
        <f t="shared" si="29"/>
        <v>12108.7575</v>
      </c>
      <c r="J447" s="112">
        <f t="shared" si="30"/>
        <v>13077.4581</v>
      </c>
      <c r="K447" s="112">
        <f t="shared" si="31"/>
        <v>14515.978491000002</v>
      </c>
      <c r="L447" s="17">
        <f t="shared" si="27"/>
        <v>8651.5231806360007</v>
      </c>
      <c r="M447" t="s">
        <v>4001</v>
      </c>
    </row>
    <row r="448" spans="2:13" x14ac:dyDescent="0.25">
      <c r="B448" s="6" t="s">
        <v>844</v>
      </c>
      <c r="C448" s="15" t="s">
        <v>759</v>
      </c>
      <c r="D448" s="7" t="s">
        <v>894</v>
      </c>
      <c r="E448" s="2" t="s">
        <v>739</v>
      </c>
      <c r="F448" s="7" t="s">
        <v>915</v>
      </c>
      <c r="G448" s="11">
        <f>11225-517+563</f>
        <v>11271</v>
      </c>
      <c r="H448" s="17">
        <f t="shared" si="28"/>
        <v>11834.550000000001</v>
      </c>
      <c r="I448" s="17">
        <f t="shared" si="29"/>
        <v>12426.277500000002</v>
      </c>
      <c r="J448" s="112">
        <f t="shared" si="30"/>
        <v>13420.379700000003</v>
      </c>
      <c r="K448" s="112">
        <f t="shared" si="31"/>
        <v>14896.621467000004</v>
      </c>
      <c r="L448" s="17">
        <f t="shared" si="27"/>
        <v>8878.386394332003</v>
      </c>
      <c r="M448" t="s">
        <v>4001</v>
      </c>
    </row>
    <row r="449" spans="2:13" x14ac:dyDescent="0.25">
      <c r="B449" s="6" t="s">
        <v>845</v>
      </c>
      <c r="C449" s="15" t="s">
        <v>759</v>
      </c>
      <c r="D449" s="7" t="s">
        <v>895</v>
      </c>
      <c r="E449" s="2" t="s">
        <v>740</v>
      </c>
      <c r="F449" s="7" t="s">
        <v>915</v>
      </c>
      <c r="G449" s="11">
        <f>11511-517+563</f>
        <v>11557</v>
      </c>
      <c r="H449" s="17">
        <f t="shared" si="28"/>
        <v>12134.85</v>
      </c>
      <c r="I449" s="17">
        <f t="shared" si="29"/>
        <v>12741.592500000001</v>
      </c>
      <c r="J449" s="112">
        <f t="shared" si="30"/>
        <v>13760.919900000001</v>
      </c>
      <c r="K449" s="112">
        <f t="shared" si="31"/>
        <v>15274.621089000002</v>
      </c>
      <c r="L449" s="17">
        <f t="shared" ref="L449:L512" si="32">K449*0.596</f>
        <v>9103.6741690440012</v>
      </c>
      <c r="M449" t="s">
        <v>4001</v>
      </c>
    </row>
    <row r="450" spans="2:13" x14ac:dyDescent="0.25">
      <c r="B450" s="6" t="s">
        <v>846</v>
      </c>
      <c r="C450" s="15" t="s">
        <v>759</v>
      </c>
      <c r="D450" s="7" t="s">
        <v>896</v>
      </c>
      <c r="E450" s="2" t="s">
        <v>741</v>
      </c>
      <c r="F450" s="7" t="s">
        <v>915</v>
      </c>
      <c r="G450" s="11">
        <f>12066-517+563</f>
        <v>12112</v>
      </c>
      <c r="H450" s="17">
        <f t="shared" ref="H450:H513" si="33">G450*1.05</f>
        <v>12717.6</v>
      </c>
      <c r="I450" s="17">
        <f t="shared" ref="I450:I513" si="34">H450*1.05</f>
        <v>13353.480000000001</v>
      </c>
      <c r="J450" s="112">
        <f t="shared" ref="J450:J513" si="35">I450*1.08</f>
        <v>14421.758400000002</v>
      </c>
      <c r="K450" s="112">
        <f t="shared" si="31"/>
        <v>16008.151824000004</v>
      </c>
      <c r="L450" s="17">
        <f t="shared" si="32"/>
        <v>9540.8584871040021</v>
      </c>
      <c r="M450" t="s">
        <v>4001</v>
      </c>
    </row>
    <row r="451" spans="2:13" x14ac:dyDescent="0.25">
      <c r="B451" s="6" t="s">
        <v>847</v>
      </c>
      <c r="C451" s="15" t="s">
        <v>759</v>
      </c>
      <c r="D451" s="7" t="s">
        <v>897</v>
      </c>
      <c r="E451" s="2" t="s">
        <v>742</v>
      </c>
      <c r="F451" s="7" t="s">
        <v>915</v>
      </c>
      <c r="G451" s="11">
        <f>12363-517+563</f>
        <v>12409</v>
      </c>
      <c r="H451" s="17">
        <f t="shared" si="33"/>
        <v>13029.45</v>
      </c>
      <c r="I451" s="17">
        <f t="shared" si="34"/>
        <v>13680.922500000001</v>
      </c>
      <c r="J451" s="112">
        <f t="shared" si="35"/>
        <v>14775.396300000002</v>
      </c>
      <c r="K451" s="112">
        <f t="shared" si="31"/>
        <v>16400.689893000002</v>
      </c>
      <c r="L451" s="17">
        <f t="shared" si="32"/>
        <v>9774.8111762280005</v>
      </c>
      <c r="M451" t="s">
        <v>4001</v>
      </c>
    </row>
    <row r="452" spans="2:13" x14ac:dyDescent="0.25">
      <c r="B452" s="6" t="s">
        <v>848</v>
      </c>
      <c r="C452" s="15" t="s">
        <v>759</v>
      </c>
      <c r="D452" s="7" t="s">
        <v>898</v>
      </c>
      <c r="E452" s="2" t="s">
        <v>743</v>
      </c>
      <c r="F452" s="7" t="s">
        <v>915</v>
      </c>
      <c r="G452" s="11">
        <f>12659-517+563</f>
        <v>12705</v>
      </c>
      <c r="H452" s="17">
        <f t="shared" si="33"/>
        <v>13340.25</v>
      </c>
      <c r="I452" s="17">
        <f t="shared" si="34"/>
        <v>14007.262500000001</v>
      </c>
      <c r="J452" s="112">
        <f t="shared" si="35"/>
        <v>15127.843500000003</v>
      </c>
      <c r="K452" s="112">
        <f t="shared" si="31"/>
        <v>16791.906285000005</v>
      </c>
      <c r="L452" s="17">
        <f t="shared" si="32"/>
        <v>10007.976145860002</v>
      </c>
      <c r="M452" t="s">
        <v>4001</v>
      </c>
    </row>
    <row r="453" spans="2:13" x14ac:dyDescent="0.25">
      <c r="B453" s="6" t="s">
        <v>849</v>
      </c>
      <c r="C453" s="15" t="s">
        <v>759</v>
      </c>
      <c r="D453" s="7" t="s">
        <v>899</v>
      </c>
      <c r="E453" s="2" t="s">
        <v>744</v>
      </c>
      <c r="F453" s="7" t="s">
        <v>915</v>
      </c>
      <c r="G453" s="11">
        <f>12956-517+563</f>
        <v>13002</v>
      </c>
      <c r="H453" s="17">
        <f t="shared" si="33"/>
        <v>13652.1</v>
      </c>
      <c r="I453" s="17">
        <f t="shared" si="34"/>
        <v>14334.705000000002</v>
      </c>
      <c r="J453" s="112">
        <f t="shared" si="35"/>
        <v>15481.481400000002</v>
      </c>
      <c r="K453" s="112">
        <f t="shared" si="31"/>
        <v>17184.444354000003</v>
      </c>
      <c r="L453" s="17">
        <f t="shared" si="32"/>
        <v>10241.928834984001</v>
      </c>
      <c r="M453" t="s">
        <v>4001</v>
      </c>
    </row>
    <row r="454" spans="2:13" x14ac:dyDescent="0.25">
      <c r="B454" s="6" t="s">
        <v>850</v>
      </c>
      <c r="C454" s="15" t="s">
        <v>759</v>
      </c>
      <c r="D454" s="7" t="s">
        <v>900</v>
      </c>
      <c r="E454" s="2" t="s">
        <v>745</v>
      </c>
      <c r="F454" s="7" t="s">
        <v>915</v>
      </c>
      <c r="G454" s="11">
        <f>13431-517+563</f>
        <v>13477</v>
      </c>
      <c r="H454" s="17">
        <f t="shared" si="33"/>
        <v>14150.85</v>
      </c>
      <c r="I454" s="17">
        <f t="shared" si="34"/>
        <v>14858.392500000002</v>
      </c>
      <c r="J454" s="112">
        <f t="shared" si="35"/>
        <v>16047.063900000003</v>
      </c>
      <c r="K454" s="112">
        <f t="shared" si="31"/>
        <v>17812.240929000003</v>
      </c>
      <c r="L454" s="17">
        <f t="shared" si="32"/>
        <v>10616.095593684002</v>
      </c>
      <c r="M454" t="s">
        <v>4001</v>
      </c>
    </row>
    <row r="455" spans="2:13" x14ac:dyDescent="0.25">
      <c r="B455" s="6" t="s">
        <v>851</v>
      </c>
      <c r="C455" s="15" t="s">
        <v>759</v>
      </c>
      <c r="D455" s="7" t="s">
        <v>901</v>
      </c>
      <c r="E455" s="2" t="s">
        <v>746</v>
      </c>
      <c r="F455" s="7" t="s">
        <v>915</v>
      </c>
      <c r="G455" s="11">
        <f>9673-517+563</f>
        <v>9719</v>
      </c>
      <c r="H455" s="17">
        <f t="shared" si="33"/>
        <v>10204.950000000001</v>
      </c>
      <c r="I455" s="17">
        <f t="shared" si="34"/>
        <v>10715.197500000002</v>
      </c>
      <c r="J455" s="112">
        <f t="shared" si="35"/>
        <v>11572.413300000004</v>
      </c>
      <c r="K455" s="112">
        <f t="shared" si="31"/>
        <v>12845.378763000006</v>
      </c>
      <c r="L455" s="17">
        <f t="shared" si="32"/>
        <v>7655.8457427480034</v>
      </c>
      <c r="M455" t="s">
        <v>4001</v>
      </c>
    </row>
    <row r="456" spans="2:13" x14ac:dyDescent="0.25">
      <c r="B456" s="6" t="s">
        <v>852</v>
      </c>
      <c r="C456" s="15" t="s">
        <v>759</v>
      </c>
      <c r="D456" s="7" t="s">
        <v>902</v>
      </c>
      <c r="E456" s="2" t="s">
        <v>747</v>
      </c>
      <c r="F456" s="7" t="s">
        <v>915</v>
      </c>
      <c r="G456" s="11">
        <f>9493-517+563</f>
        <v>9539</v>
      </c>
      <c r="H456" s="17">
        <f t="shared" si="33"/>
        <v>10015.950000000001</v>
      </c>
      <c r="I456" s="17">
        <f t="shared" si="34"/>
        <v>10516.747500000001</v>
      </c>
      <c r="J456" s="112">
        <f t="shared" si="35"/>
        <v>11358.087300000003</v>
      </c>
      <c r="K456" s="112">
        <f t="shared" si="31"/>
        <v>12607.476903000004</v>
      </c>
      <c r="L456" s="17">
        <f t="shared" si="32"/>
        <v>7514.0562341880022</v>
      </c>
      <c r="M456" t="s">
        <v>4001</v>
      </c>
    </row>
    <row r="457" spans="2:13" x14ac:dyDescent="0.25">
      <c r="B457" s="6" t="s">
        <v>853</v>
      </c>
      <c r="C457" s="15" t="s">
        <v>759</v>
      </c>
      <c r="D457" s="7" t="s">
        <v>903</v>
      </c>
      <c r="E457" s="2" t="s">
        <v>748</v>
      </c>
      <c r="F457" s="7" t="s">
        <v>915</v>
      </c>
      <c r="G457" s="11">
        <f>10264-517+563</f>
        <v>10310</v>
      </c>
      <c r="H457" s="17">
        <f t="shared" si="33"/>
        <v>10825.5</v>
      </c>
      <c r="I457" s="17">
        <f t="shared" si="34"/>
        <v>11366.775</v>
      </c>
      <c r="J457" s="112">
        <f t="shared" si="35"/>
        <v>12276.117</v>
      </c>
      <c r="K457" s="112">
        <f t="shared" si="31"/>
        <v>13626.489870000001</v>
      </c>
      <c r="L457" s="17">
        <f t="shared" si="32"/>
        <v>8121.3879625200007</v>
      </c>
      <c r="M457" t="s">
        <v>4001</v>
      </c>
    </row>
    <row r="458" spans="2:13" x14ac:dyDescent="0.25">
      <c r="B458" s="6" t="s">
        <v>854</v>
      </c>
      <c r="C458" s="15" t="s">
        <v>759</v>
      </c>
      <c r="D458" s="7" t="s">
        <v>904</v>
      </c>
      <c r="E458" s="2" t="s">
        <v>749</v>
      </c>
      <c r="F458" s="7" t="s">
        <v>915</v>
      </c>
      <c r="G458" s="11">
        <f>10461-517+563</f>
        <v>10507</v>
      </c>
      <c r="H458" s="17">
        <f t="shared" si="33"/>
        <v>11032.35</v>
      </c>
      <c r="I458" s="17">
        <f t="shared" si="34"/>
        <v>11583.967500000001</v>
      </c>
      <c r="J458" s="112">
        <f t="shared" si="35"/>
        <v>12510.684900000002</v>
      </c>
      <c r="K458" s="112">
        <f t="shared" si="31"/>
        <v>13886.860239000003</v>
      </c>
      <c r="L458" s="17">
        <f t="shared" si="32"/>
        <v>8276.5687024440012</v>
      </c>
      <c r="M458" t="s">
        <v>4001</v>
      </c>
    </row>
    <row r="459" spans="2:13" x14ac:dyDescent="0.25">
      <c r="B459" s="6" t="s">
        <v>855</v>
      </c>
      <c r="C459" s="15" t="s">
        <v>759</v>
      </c>
      <c r="D459" s="7" t="s">
        <v>905</v>
      </c>
      <c r="E459" s="2" t="s">
        <v>750</v>
      </c>
      <c r="F459" s="7" t="s">
        <v>915</v>
      </c>
      <c r="G459" s="11">
        <f>11714-517+563</f>
        <v>11760</v>
      </c>
      <c r="H459" s="17">
        <f t="shared" si="33"/>
        <v>12348</v>
      </c>
      <c r="I459" s="17">
        <f t="shared" si="34"/>
        <v>12965.400000000001</v>
      </c>
      <c r="J459" s="112">
        <f t="shared" si="35"/>
        <v>14002.632000000003</v>
      </c>
      <c r="K459" s="112">
        <f t="shared" si="31"/>
        <v>15542.921520000005</v>
      </c>
      <c r="L459" s="17">
        <f t="shared" si="32"/>
        <v>9263.5812259200029</v>
      </c>
      <c r="M459" t="s">
        <v>4001</v>
      </c>
    </row>
    <row r="460" spans="2:13" x14ac:dyDescent="0.25">
      <c r="B460" s="6" t="s">
        <v>856</v>
      </c>
      <c r="C460" s="15" t="s">
        <v>759</v>
      </c>
      <c r="D460" s="7" t="s">
        <v>906</v>
      </c>
      <c r="E460" s="2" t="s">
        <v>751</v>
      </c>
      <c r="F460" s="7" t="s">
        <v>915</v>
      </c>
      <c r="G460" s="11">
        <f>12046-517+563</f>
        <v>12092</v>
      </c>
      <c r="H460" s="17">
        <f t="shared" si="33"/>
        <v>12696.6</v>
      </c>
      <c r="I460" s="17">
        <f t="shared" si="34"/>
        <v>13331.43</v>
      </c>
      <c r="J460" s="112">
        <f t="shared" si="35"/>
        <v>14397.944400000002</v>
      </c>
      <c r="K460" s="112">
        <f t="shared" si="31"/>
        <v>15981.718284000004</v>
      </c>
      <c r="L460" s="17">
        <f t="shared" si="32"/>
        <v>9525.1040972640021</v>
      </c>
      <c r="M460" t="s">
        <v>4001</v>
      </c>
    </row>
    <row r="461" spans="2:13" x14ac:dyDescent="0.25">
      <c r="B461" s="6" t="s">
        <v>857</v>
      </c>
      <c r="C461" s="15" t="s">
        <v>759</v>
      </c>
      <c r="D461" s="7" t="s">
        <v>907</v>
      </c>
      <c r="E461" s="2" t="s">
        <v>752</v>
      </c>
      <c r="F461" s="7" t="s">
        <v>915</v>
      </c>
      <c r="G461" s="11">
        <f>12377-517+563</f>
        <v>12423</v>
      </c>
      <c r="H461" s="17">
        <f t="shared" si="33"/>
        <v>13044.150000000001</v>
      </c>
      <c r="I461" s="17">
        <f t="shared" si="34"/>
        <v>13696.357500000002</v>
      </c>
      <c r="J461" s="112">
        <f t="shared" si="35"/>
        <v>14792.066100000004</v>
      </c>
      <c r="K461" s="112">
        <f t="shared" si="31"/>
        <v>16419.193371000005</v>
      </c>
      <c r="L461" s="17">
        <f t="shared" si="32"/>
        <v>9785.839249116003</v>
      </c>
      <c r="M461" t="s">
        <v>4001</v>
      </c>
    </row>
    <row r="462" spans="2:13" x14ac:dyDescent="0.25">
      <c r="B462" s="6" t="s">
        <v>858</v>
      </c>
      <c r="C462" s="15" t="s">
        <v>759</v>
      </c>
      <c r="D462" s="7" t="s">
        <v>908</v>
      </c>
      <c r="E462" s="2" t="s">
        <v>753</v>
      </c>
      <c r="F462" s="7" t="s">
        <v>915</v>
      </c>
      <c r="G462" s="11">
        <f>12709-517+563</f>
        <v>12755</v>
      </c>
      <c r="H462" s="17">
        <f t="shared" si="33"/>
        <v>13392.75</v>
      </c>
      <c r="I462" s="17">
        <f t="shared" si="34"/>
        <v>14062.387500000001</v>
      </c>
      <c r="J462" s="112">
        <f t="shared" si="35"/>
        <v>15187.378500000003</v>
      </c>
      <c r="K462" s="112">
        <f t="shared" si="31"/>
        <v>16857.990135000004</v>
      </c>
      <c r="L462" s="17">
        <f t="shared" si="32"/>
        <v>10047.362120460002</v>
      </c>
      <c r="M462" t="s">
        <v>4001</v>
      </c>
    </row>
    <row r="463" spans="2:13" x14ac:dyDescent="0.25">
      <c r="B463" s="6" t="s">
        <v>859</v>
      </c>
      <c r="C463" s="15" t="s">
        <v>759</v>
      </c>
      <c r="D463" s="7" t="s">
        <v>909</v>
      </c>
      <c r="E463" s="2" t="s">
        <v>754</v>
      </c>
      <c r="F463" s="7" t="s">
        <v>915</v>
      </c>
      <c r="G463" s="11">
        <f>14306-517+563</f>
        <v>14352</v>
      </c>
      <c r="H463" s="17">
        <f t="shared" si="33"/>
        <v>15069.6</v>
      </c>
      <c r="I463" s="17">
        <f t="shared" si="34"/>
        <v>15823.080000000002</v>
      </c>
      <c r="J463" s="112">
        <f t="shared" si="35"/>
        <v>17088.926400000004</v>
      </c>
      <c r="K463" s="112">
        <f t="shared" si="31"/>
        <v>18968.708304000007</v>
      </c>
      <c r="L463" s="17">
        <f t="shared" si="32"/>
        <v>11305.350149184003</v>
      </c>
      <c r="M463" t="s">
        <v>4001</v>
      </c>
    </row>
    <row r="464" spans="2:13" x14ac:dyDescent="0.25">
      <c r="B464" s="6" t="s">
        <v>860</v>
      </c>
      <c r="C464" s="15" t="s">
        <v>759</v>
      </c>
      <c r="D464" s="7" t="s">
        <v>910</v>
      </c>
      <c r="E464" s="2" t="s">
        <v>755</v>
      </c>
      <c r="F464" s="7" t="s">
        <v>915</v>
      </c>
      <c r="G464" s="11">
        <f>14684-517+563</f>
        <v>14730</v>
      </c>
      <c r="H464" s="17">
        <f t="shared" si="33"/>
        <v>15466.5</v>
      </c>
      <c r="I464" s="17">
        <f t="shared" si="34"/>
        <v>16239.825000000001</v>
      </c>
      <c r="J464" s="112">
        <f t="shared" si="35"/>
        <v>17539.011000000002</v>
      </c>
      <c r="K464" s="112">
        <f t="shared" si="31"/>
        <v>19468.302210000005</v>
      </c>
      <c r="L464" s="17">
        <f t="shared" si="32"/>
        <v>11603.108117160004</v>
      </c>
      <c r="M464" t="s">
        <v>4001</v>
      </c>
    </row>
    <row r="465" spans="1:17" x14ac:dyDescent="0.25">
      <c r="B465" s="6" t="s">
        <v>861</v>
      </c>
      <c r="C465" s="15" t="s">
        <v>759</v>
      </c>
      <c r="D465" s="7" t="s">
        <v>911</v>
      </c>
      <c r="E465" s="2" t="s">
        <v>756</v>
      </c>
      <c r="F465" s="7" t="s">
        <v>915</v>
      </c>
      <c r="G465" s="11">
        <f>15060-517+563</f>
        <v>15106</v>
      </c>
      <c r="H465" s="17">
        <f t="shared" si="33"/>
        <v>15861.300000000001</v>
      </c>
      <c r="I465" s="17">
        <f t="shared" si="34"/>
        <v>16654.365000000002</v>
      </c>
      <c r="J465" s="112">
        <f t="shared" si="35"/>
        <v>17986.714200000002</v>
      </c>
      <c r="K465" s="112">
        <f t="shared" si="31"/>
        <v>19965.252762000004</v>
      </c>
      <c r="L465" s="17">
        <f t="shared" si="32"/>
        <v>11899.290646152002</v>
      </c>
      <c r="M465" t="s">
        <v>4001</v>
      </c>
    </row>
    <row r="466" spans="1:17" x14ac:dyDescent="0.25">
      <c r="B466" s="6" t="s">
        <v>862</v>
      </c>
      <c r="C466" s="15" t="s">
        <v>759</v>
      </c>
      <c r="D466" s="7" t="s">
        <v>912</v>
      </c>
      <c r="E466" s="2" t="s">
        <v>757</v>
      </c>
      <c r="F466" s="7" t="s">
        <v>915</v>
      </c>
      <c r="G466" s="11">
        <f>15435-517+563</f>
        <v>15481</v>
      </c>
      <c r="H466" s="17">
        <f t="shared" si="33"/>
        <v>16255.050000000001</v>
      </c>
      <c r="I466" s="17">
        <f t="shared" si="34"/>
        <v>17067.802500000002</v>
      </c>
      <c r="J466" s="112">
        <f t="shared" si="35"/>
        <v>18433.226700000003</v>
      </c>
      <c r="K466" s="112">
        <f t="shared" si="31"/>
        <v>20460.881637000006</v>
      </c>
      <c r="L466" s="17">
        <f t="shared" si="32"/>
        <v>12194.685455652003</v>
      </c>
      <c r="M466" t="s">
        <v>4001</v>
      </c>
    </row>
    <row r="467" spans="1:17" x14ac:dyDescent="0.25">
      <c r="B467" s="6" t="s">
        <v>863</v>
      </c>
      <c r="C467" s="15" t="s">
        <v>759</v>
      </c>
      <c r="D467" s="7" t="s">
        <v>913</v>
      </c>
      <c r="E467" s="2" t="s">
        <v>758</v>
      </c>
      <c r="F467" s="7" t="s">
        <v>915</v>
      </c>
      <c r="G467" s="11">
        <f>16039-517+563</f>
        <v>16085</v>
      </c>
      <c r="H467" s="17">
        <f t="shared" si="33"/>
        <v>16889.25</v>
      </c>
      <c r="I467" s="17">
        <f t="shared" si="34"/>
        <v>17733.712500000001</v>
      </c>
      <c r="J467" s="112">
        <f t="shared" si="35"/>
        <v>19152.409500000002</v>
      </c>
      <c r="K467" s="112">
        <f t="shared" si="31"/>
        <v>21259.174545000005</v>
      </c>
      <c r="L467" s="17">
        <f t="shared" si="32"/>
        <v>12670.468028820003</v>
      </c>
      <c r="M467" t="s">
        <v>4001</v>
      </c>
    </row>
    <row r="468" spans="1:17" s="62" customFormat="1" x14ac:dyDescent="0.25">
      <c r="A468" s="62" t="s">
        <v>2916</v>
      </c>
      <c r="B468" s="75" t="s">
        <v>2903</v>
      </c>
      <c r="C468" s="68"/>
      <c r="D468" s="63"/>
      <c r="E468" s="64"/>
      <c r="F468" s="63"/>
      <c r="G468" s="65"/>
      <c r="H468" s="17"/>
      <c r="I468" s="17">
        <f t="shared" si="34"/>
        <v>0</v>
      </c>
      <c r="J468" s="113"/>
      <c r="K468" s="70"/>
      <c r="L468" s="70"/>
    </row>
    <row r="469" spans="1:17" x14ac:dyDescent="0.25">
      <c r="A469" s="4"/>
      <c r="B469" s="6" t="s">
        <v>966</v>
      </c>
      <c r="C469" s="15" t="s">
        <v>1154</v>
      </c>
      <c r="D469" s="7" t="s">
        <v>145</v>
      </c>
      <c r="E469" s="2" t="s">
        <v>354</v>
      </c>
      <c r="F469" s="7" t="s">
        <v>702</v>
      </c>
      <c r="G469" s="11">
        <f>7322-517+563</f>
        <v>7368</v>
      </c>
      <c r="H469" s="17">
        <f t="shared" si="33"/>
        <v>7736.4000000000005</v>
      </c>
      <c r="I469" s="17">
        <f t="shared" si="34"/>
        <v>8123.2200000000012</v>
      </c>
      <c r="J469" s="112">
        <f t="shared" si="35"/>
        <v>8773.0776000000023</v>
      </c>
      <c r="K469" s="112">
        <v>8773.0776000000023</v>
      </c>
      <c r="L469" s="17">
        <f t="shared" si="32"/>
        <v>5228.7542496000015</v>
      </c>
      <c r="M469" t="s">
        <v>3246</v>
      </c>
    </row>
    <row r="470" spans="1:17" x14ac:dyDescent="0.25">
      <c r="A470" s="30"/>
      <c r="B470" s="6" t="s">
        <v>967</v>
      </c>
      <c r="C470" s="15" t="s">
        <v>1154</v>
      </c>
      <c r="D470" s="7" t="s">
        <v>650</v>
      </c>
      <c r="E470" s="2" t="s">
        <v>916</v>
      </c>
      <c r="F470" s="7" t="s">
        <v>702</v>
      </c>
      <c r="G470" s="11">
        <f>7256-517+563</f>
        <v>7302</v>
      </c>
      <c r="H470" s="17">
        <f t="shared" si="33"/>
        <v>7667.1</v>
      </c>
      <c r="I470" s="17">
        <f t="shared" si="34"/>
        <v>8050.4550000000008</v>
      </c>
      <c r="J470" s="112">
        <f t="shared" si="35"/>
        <v>8694.4914000000008</v>
      </c>
      <c r="K470" s="112">
        <v>8694.4914000000008</v>
      </c>
      <c r="L470" s="17">
        <f t="shared" si="32"/>
        <v>5181.9168743999999</v>
      </c>
      <c r="M470" t="s">
        <v>3246</v>
      </c>
      <c r="O470" s="54"/>
      <c r="Q470" s="54"/>
    </row>
    <row r="471" spans="1:17" x14ac:dyDescent="0.25">
      <c r="B471" s="6" t="s">
        <v>968</v>
      </c>
      <c r="C471" s="15" t="s">
        <v>1154</v>
      </c>
      <c r="D471" s="7" t="s">
        <v>651</v>
      </c>
      <c r="E471" s="2" t="s">
        <v>917</v>
      </c>
      <c r="F471" s="7" t="s">
        <v>701</v>
      </c>
      <c r="G471" s="11">
        <f>8138-517+563</f>
        <v>8184</v>
      </c>
      <c r="H471" s="17">
        <f t="shared" si="33"/>
        <v>8593.2000000000007</v>
      </c>
      <c r="I471" s="17">
        <f t="shared" si="34"/>
        <v>9022.86</v>
      </c>
      <c r="J471" s="112">
        <f t="shared" si="35"/>
        <v>9744.6888000000017</v>
      </c>
      <c r="K471" s="112">
        <v>9744.6888000000017</v>
      </c>
      <c r="L471" s="17">
        <f t="shared" si="32"/>
        <v>5807.8345248000005</v>
      </c>
      <c r="M471" t="s">
        <v>3246</v>
      </c>
    </row>
    <row r="472" spans="1:17" x14ac:dyDescent="0.25">
      <c r="B472" s="6" t="s">
        <v>969</v>
      </c>
      <c r="C472" s="15" t="s">
        <v>1154</v>
      </c>
      <c r="D472" s="7" t="s">
        <v>652</v>
      </c>
      <c r="E472" s="2" t="s">
        <v>918</v>
      </c>
      <c r="F472" s="7" t="s">
        <v>701</v>
      </c>
      <c r="G472" s="11">
        <f>8349-517+563</f>
        <v>8395</v>
      </c>
      <c r="H472" s="17">
        <f t="shared" si="33"/>
        <v>8814.75</v>
      </c>
      <c r="I472" s="17">
        <f t="shared" si="34"/>
        <v>9255.4875000000011</v>
      </c>
      <c r="J472" s="112">
        <f t="shared" si="35"/>
        <v>9995.9265000000014</v>
      </c>
      <c r="K472" s="112">
        <v>9995.9265000000014</v>
      </c>
      <c r="L472" s="17">
        <f t="shared" si="32"/>
        <v>5957.5721940000003</v>
      </c>
      <c r="M472" t="s">
        <v>3246</v>
      </c>
    </row>
    <row r="473" spans="1:17" x14ac:dyDescent="0.25">
      <c r="B473" s="6" t="s">
        <v>970</v>
      </c>
      <c r="C473" s="15" t="s">
        <v>1154</v>
      </c>
      <c r="D473" s="7" t="s">
        <v>653</v>
      </c>
      <c r="E473" s="2" t="s">
        <v>919</v>
      </c>
      <c r="F473" s="7" t="s">
        <v>701</v>
      </c>
      <c r="G473" s="11">
        <f>8560-517+563</f>
        <v>8606</v>
      </c>
      <c r="H473" s="17">
        <f t="shared" si="33"/>
        <v>9036.3000000000011</v>
      </c>
      <c r="I473" s="17">
        <f t="shared" si="34"/>
        <v>9488.1150000000016</v>
      </c>
      <c r="J473" s="112">
        <f t="shared" si="35"/>
        <v>10247.164200000003</v>
      </c>
      <c r="K473" s="112">
        <v>10247.164200000003</v>
      </c>
      <c r="L473" s="17">
        <f t="shared" si="32"/>
        <v>6107.309863200001</v>
      </c>
      <c r="M473" t="s">
        <v>3246</v>
      </c>
    </row>
    <row r="474" spans="1:17" x14ac:dyDescent="0.25">
      <c r="B474" s="6" t="s">
        <v>971</v>
      </c>
      <c r="C474" s="15" t="s">
        <v>1154</v>
      </c>
      <c r="D474" s="7" t="s">
        <v>654</v>
      </c>
      <c r="E474" s="2" t="s">
        <v>920</v>
      </c>
      <c r="F474" s="7" t="s">
        <v>701</v>
      </c>
      <c r="G474" s="11">
        <f>8771-517+563</f>
        <v>8817</v>
      </c>
      <c r="H474" s="17">
        <f t="shared" si="33"/>
        <v>9257.85</v>
      </c>
      <c r="I474" s="17">
        <f t="shared" si="34"/>
        <v>9720.7425000000003</v>
      </c>
      <c r="J474" s="112">
        <f t="shared" si="35"/>
        <v>10498.401900000001</v>
      </c>
      <c r="K474" s="112">
        <v>10498.401900000001</v>
      </c>
      <c r="L474" s="17">
        <f t="shared" si="32"/>
        <v>6257.0475323999999</v>
      </c>
      <c r="M474" t="s">
        <v>3246</v>
      </c>
    </row>
    <row r="475" spans="1:17" x14ac:dyDescent="0.25">
      <c r="B475" s="6" t="s">
        <v>972</v>
      </c>
      <c r="C475" s="15" t="s">
        <v>1154</v>
      </c>
      <c r="D475" s="7" t="s">
        <v>655</v>
      </c>
      <c r="E475" s="2" t="s">
        <v>921</v>
      </c>
      <c r="F475" s="7" t="s">
        <v>701</v>
      </c>
      <c r="G475" s="11">
        <f>8982-517+563</f>
        <v>9028</v>
      </c>
      <c r="H475" s="17">
        <f t="shared" si="33"/>
        <v>9479.4</v>
      </c>
      <c r="I475" s="17">
        <f t="shared" si="34"/>
        <v>9953.3700000000008</v>
      </c>
      <c r="J475" s="112">
        <f t="shared" si="35"/>
        <v>10749.639600000002</v>
      </c>
      <c r="K475" s="112">
        <v>10749.639600000002</v>
      </c>
      <c r="L475" s="17">
        <f t="shared" si="32"/>
        <v>6406.7852016000006</v>
      </c>
      <c r="M475" t="s">
        <v>3246</v>
      </c>
    </row>
    <row r="476" spans="1:17" x14ac:dyDescent="0.25">
      <c r="B476" s="6" t="s">
        <v>973</v>
      </c>
      <c r="C476" s="15" t="s">
        <v>1154</v>
      </c>
      <c r="D476" s="7" t="s">
        <v>656</v>
      </c>
      <c r="E476" s="2" t="s">
        <v>922</v>
      </c>
      <c r="F476" s="7" t="s">
        <v>701</v>
      </c>
      <c r="G476" s="11">
        <f>9544+46</f>
        <v>9590</v>
      </c>
      <c r="H476" s="17">
        <f t="shared" si="33"/>
        <v>10069.5</v>
      </c>
      <c r="I476" s="17">
        <f t="shared" si="34"/>
        <v>10572.975</v>
      </c>
      <c r="J476" s="112">
        <f t="shared" si="35"/>
        <v>11418.813000000002</v>
      </c>
      <c r="K476" s="112">
        <v>11418.813000000002</v>
      </c>
      <c r="L476" s="17">
        <f t="shared" si="32"/>
        <v>6805.612548000001</v>
      </c>
      <c r="M476" t="s">
        <v>3246</v>
      </c>
    </row>
    <row r="477" spans="1:17" x14ac:dyDescent="0.25">
      <c r="B477" s="6" t="s">
        <v>974</v>
      </c>
      <c r="C477" s="15" t="s">
        <v>1154</v>
      </c>
      <c r="D477" s="7" t="s">
        <v>657</v>
      </c>
      <c r="E477" s="2" t="s">
        <v>923</v>
      </c>
      <c r="F477" s="7" t="s">
        <v>701</v>
      </c>
      <c r="G477" s="11">
        <f>9768+46</f>
        <v>9814</v>
      </c>
      <c r="H477" s="17">
        <f t="shared" si="33"/>
        <v>10304.700000000001</v>
      </c>
      <c r="I477" s="17">
        <f t="shared" si="34"/>
        <v>10819.935000000001</v>
      </c>
      <c r="J477" s="112">
        <f t="shared" si="35"/>
        <v>11685.529800000002</v>
      </c>
      <c r="K477" s="112">
        <v>11685.529800000002</v>
      </c>
      <c r="L477" s="17">
        <f t="shared" si="32"/>
        <v>6964.5757608000013</v>
      </c>
      <c r="M477" t="s">
        <v>3246</v>
      </c>
    </row>
    <row r="478" spans="1:17" x14ac:dyDescent="0.25">
      <c r="B478" s="6" t="s">
        <v>975</v>
      </c>
      <c r="C478" s="15" t="s">
        <v>1154</v>
      </c>
      <c r="D478" s="7" t="s">
        <v>658</v>
      </c>
      <c r="E478" s="2" t="s">
        <v>924</v>
      </c>
      <c r="F478" s="7" t="s">
        <v>701</v>
      </c>
      <c r="G478" s="11">
        <f>9991+46</f>
        <v>10037</v>
      </c>
      <c r="H478" s="17">
        <f t="shared" si="33"/>
        <v>10538.85</v>
      </c>
      <c r="I478" s="17">
        <f t="shared" si="34"/>
        <v>11065.792500000001</v>
      </c>
      <c r="J478" s="112">
        <f t="shared" si="35"/>
        <v>11951.055900000003</v>
      </c>
      <c r="K478" s="112">
        <v>11951.055900000003</v>
      </c>
      <c r="L478" s="17">
        <f t="shared" si="32"/>
        <v>7122.8293164000015</v>
      </c>
      <c r="M478" t="s">
        <v>3246</v>
      </c>
    </row>
    <row r="479" spans="1:17" x14ac:dyDescent="0.25">
      <c r="B479" s="6" t="s">
        <v>976</v>
      </c>
      <c r="C479" s="15" t="s">
        <v>1154</v>
      </c>
      <c r="D479" s="7" t="s">
        <v>659</v>
      </c>
      <c r="E479" s="2" t="s">
        <v>925</v>
      </c>
      <c r="F479" s="7" t="s">
        <v>701</v>
      </c>
      <c r="G479" s="11">
        <f>10215+46</f>
        <v>10261</v>
      </c>
      <c r="H479" s="17">
        <f t="shared" si="33"/>
        <v>10774.050000000001</v>
      </c>
      <c r="I479" s="17">
        <f t="shared" si="34"/>
        <v>11312.752500000002</v>
      </c>
      <c r="J479" s="112">
        <f t="shared" si="35"/>
        <v>12217.772700000003</v>
      </c>
      <c r="K479" s="112">
        <v>12217.772700000003</v>
      </c>
      <c r="L479" s="17">
        <f t="shared" si="32"/>
        <v>7281.7925292000018</v>
      </c>
      <c r="M479" t="s">
        <v>3246</v>
      </c>
    </row>
    <row r="480" spans="1:17" x14ac:dyDescent="0.25">
      <c r="B480" s="6" t="s">
        <v>977</v>
      </c>
      <c r="C480" s="15" t="s">
        <v>1154</v>
      </c>
      <c r="D480" s="7" t="s">
        <v>660</v>
      </c>
      <c r="E480" s="2" t="s">
        <v>926</v>
      </c>
      <c r="F480" s="7" t="s">
        <v>701</v>
      </c>
      <c r="G480" s="11">
        <f>10440+46</f>
        <v>10486</v>
      </c>
      <c r="H480" s="17">
        <f t="shared" si="33"/>
        <v>11010.300000000001</v>
      </c>
      <c r="I480" s="17">
        <f t="shared" si="34"/>
        <v>11560.815000000002</v>
      </c>
      <c r="J480" s="112">
        <f t="shared" si="35"/>
        <v>12485.680200000003</v>
      </c>
      <c r="K480" s="112">
        <v>12485.680200000003</v>
      </c>
      <c r="L480" s="17">
        <f t="shared" si="32"/>
        <v>7441.4653992000012</v>
      </c>
      <c r="M480" t="s">
        <v>3246</v>
      </c>
    </row>
    <row r="481" spans="1:13" x14ac:dyDescent="0.25">
      <c r="A481" t="s">
        <v>2917</v>
      </c>
      <c r="B481" s="6" t="s">
        <v>978</v>
      </c>
      <c r="C481" s="15" t="s">
        <v>1154</v>
      </c>
      <c r="D481" s="7" t="s">
        <v>661</v>
      </c>
      <c r="E481" s="2" t="s">
        <v>927</v>
      </c>
      <c r="F481" s="7" t="s">
        <v>701</v>
      </c>
      <c r="G481" s="11">
        <f>10821+46</f>
        <v>10867</v>
      </c>
      <c r="H481" s="17">
        <f t="shared" si="33"/>
        <v>11410.35</v>
      </c>
      <c r="I481" s="17">
        <f t="shared" si="34"/>
        <v>11980.8675</v>
      </c>
      <c r="J481" s="112">
        <f t="shared" si="35"/>
        <v>12939.336900000002</v>
      </c>
      <c r="K481" s="112">
        <v>12939.336900000002</v>
      </c>
      <c r="L481" s="17">
        <f t="shared" si="32"/>
        <v>7711.8447924000011</v>
      </c>
      <c r="M481" t="s">
        <v>3246</v>
      </c>
    </row>
    <row r="482" spans="1:13" x14ac:dyDescent="0.25">
      <c r="B482" s="6" t="s">
        <v>979</v>
      </c>
      <c r="C482" s="15" t="s">
        <v>1154</v>
      </c>
      <c r="D482" s="7" t="s">
        <v>149</v>
      </c>
      <c r="E482" s="2" t="s">
        <v>365</v>
      </c>
      <c r="F482" s="7" t="s">
        <v>702</v>
      </c>
      <c r="G482" s="11">
        <f>7585+46</f>
        <v>7631</v>
      </c>
      <c r="H482" s="17">
        <f t="shared" si="33"/>
        <v>8012.55</v>
      </c>
      <c r="I482" s="17">
        <f t="shared" si="34"/>
        <v>8413.1774999999998</v>
      </c>
      <c r="J482" s="112">
        <f t="shared" si="35"/>
        <v>9086.2317000000003</v>
      </c>
      <c r="K482" s="112">
        <v>9086.2317000000003</v>
      </c>
      <c r="L482" s="17">
        <f t="shared" si="32"/>
        <v>5415.3940931999996</v>
      </c>
      <c r="M482" t="s">
        <v>3246</v>
      </c>
    </row>
    <row r="483" spans="1:13" x14ac:dyDescent="0.25">
      <c r="B483" s="6" t="s">
        <v>980</v>
      </c>
      <c r="C483" s="15" t="s">
        <v>1154</v>
      </c>
      <c r="D483" s="7" t="s">
        <v>662</v>
      </c>
      <c r="E483" s="2" t="s">
        <v>928</v>
      </c>
      <c r="F483" s="7" t="s">
        <v>702</v>
      </c>
      <c r="G483" s="11">
        <f>7823+46</f>
        <v>7869</v>
      </c>
      <c r="H483" s="17">
        <f t="shared" si="33"/>
        <v>8262.4500000000007</v>
      </c>
      <c r="I483" s="17">
        <f t="shared" si="34"/>
        <v>8675.572500000002</v>
      </c>
      <c r="J483" s="112">
        <f t="shared" si="35"/>
        <v>9369.6183000000019</v>
      </c>
      <c r="K483" s="112">
        <v>9369.6183000000019</v>
      </c>
      <c r="L483" s="17">
        <f t="shared" si="32"/>
        <v>5584.2925068000013</v>
      </c>
      <c r="M483" t="s">
        <v>3246</v>
      </c>
    </row>
    <row r="484" spans="1:13" x14ac:dyDescent="0.25">
      <c r="B484" s="6" t="s">
        <v>981</v>
      </c>
      <c r="C484" s="15" t="s">
        <v>1154</v>
      </c>
      <c r="D484" s="7" t="s">
        <v>663</v>
      </c>
      <c r="E484" s="2" t="s">
        <v>929</v>
      </c>
      <c r="F484" s="7" t="s">
        <v>701</v>
      </c>
      <c r="G484" s="11">
        <f>8732+46</f>
        <v>8778</v>
      </c>
      <c r="H484" s="17">
        <f t="shared" si="33"/>
        <v>9216.9</v>
      </c>
      <c r="I484" s="17">
        <f t="shared" si="34"/>
        <v>9677.7450000000008</v>
      </c>
      <c r="J484" s="112">
        <f t="shared" si="35"/>
        <v>10451.964600000001</v>
      </c>
      <c r="K484" s="112">
        <v>10451.964600000001</v>
      </c>
      <c r="L484" s="17">
        <f t="shared" si="32"/>
        <v>6229.3709016000003</v>
      </c>
      <c r="M484" t="s">
        <v>3246</v>
      </c>
    </row>
    <row r="485" spans="1:13" x14ac:dyDescent="0.25">
      <c r="B485" s="6" t="s">
        <v>982</v>
      </c>
      <c r="C485" s="15" t="s">
        <v>1154</v>
      </c>
      <c r="D485" s="7" t="s">
        <v>664</v>
      </c>
      <c r="E485" s="2" t="s">
        <v>930</v>
      </c>
      <c r="F485" s="7" t="s">
        <v>701</v>
      </c>
      <c r="G485" s="11">
        <f>8850+46</f>
        <v>8896</v>
      </c>
      <c r="H485" s="17">
        <f t="shared" si="33"/>
        <v>9340.8000000000011</v>
      </c>
      <c r="I485" s="17">
        <f t="shared" si="34"/>
        <v>9807.840000000002</v>
      </c>
      <c r="J485" s="112">
        <f t="shared" si="35"/>
        <v>10592.467200000003</v>
      </c>
      <c r="K485" s="112">
        <v>10592.467200000003</v>
      </c>
      <c r="L485" s="17">
        <f t="shared" si="32"/>
        <v>6313.1104512000011</v>
      </c>
      <c r="M485" t="s">
        <v>3246</v>
      </c>
    </row>
    <row r="486" spans="1:13" x14ac:dyDescent="0.25">
      <c r="B486" s="6" t="s">
        <v>983</v>
      </c>
      <c r="C486" s="15" t="s">
        <v>1154</v>
      </c>
      <c r="D486" s="7" t="s">
        <v>665</v>
      </c>
      <c r="E486" s="2" t="s">
        <v>931</v>
      </c>
      <c r="F486" s="7" t="s">
        <v>701</v>
      </c>
      <c r="G486" s="11">
        <f>46+8920</f>
        <v>8966</v>
      </c>
      <c r="H486" s="17">
        <f t="shared" si="33"/>
        <v>9414.3000000000011</v>
      </c>
      <c r="I486" s="17">
        <f t="shared" si="34"/>
        <v>9885.0150000000012</v>
      </c>
      <c r="J486" s="112">
        <f t="shared" si="35"/>
        <v>10675.816200000003</v>
      </c>
      <c r="K486" s="112">
        <v>10675.816200000003</v>
      </c>
      <c r="L486" s="17">
        <f t="shared" si="32"/>
        <v>6362.7864552000019</v>
      </c>
      <c r="M486" t="s">
        <v>3246</v>
      </c>
    </row>
    <row r="487" spans="1:13" x14ac:dyDescent="0.25">
      <c r="B487" s="6" t="s">
        <v>984</v>
      </c>
      <c r="C487" s="15" t="s">
        <v>1154</v>
      </c>
      <c r="D487" s="7" t="s">
        <v>666</v>
      </c>
      <c r="E487" s="2" t="s">
        <v>932</v>
      </c>
      <c r="F487" s="7" t="s">
        <v>701</v>
      </c>
      <c r="G487" s="11">
        <f>46+9147</f>
        <v>9193</v>
      </c>
      <c r="H487" s="17">
        <f t="shared" si="33"/>
        <v>9652.65</v>
      </c>
      <c r="I487" s="17">
        <f t="shared" si="34"/>
        <v>10135.282499999999</v>
      </c>
      <c r="J487" s="112">
        <f t="shared" si="35"/>
        <v>10946.105100000001</v>
      </c>
      <c r="K487" s="112">
        <v>10946.105100000001</v>
      </c>
      <c r="L487" s="17">
        <f t="shared" si="32"/>
        <v>6523.8786396000005</v>
      </c>
      <c r="M487" t="s">
        <v>3246</v>
      </c>
    </row>
    <row r="488" spans="1:13" x14ac:dyDescent="0.25">
      <c r="B488" s="6" t="s">
        <v>985</v>
      </c>
      <c r="C488" s="15" t="s">
        <v>1154</v>
      </c>
      <c r="D488" s="7" t="s">
        <v>667</v>
      </c>
      <c r="E488" s="2" t="s">
        <v>933</v>
      </c>
      <c r="F488" s="7" t="s">
        <v>701</v>
      </c>
      <c r="G488" s="11">
        <f>9387+46</f>
        <v>9433</v>
      </c>
      <c r="H488" s="17">
        <f t="shared" si="33"/>
        <v>9904.65</v>
      </c>
      <c r="I488" s="17">
        <f t="shared" si="34"/>
        <v>10399.8825</v>
      </c>
      <c r="J488" s="112">
        <f t="shared" si="35"/>
        <v>11231.873100000001</v>
      </c>
      <c r="K488" s="112">
        <v>11231.873100000001</v>
      </c>
      <c r="L488" s="17">
        <f t="shared" si="32"/>
        <v>6694.1963676000005</v>
      </c>
      <c r="M488" t="s">
        <v>3246</v>
      </c>
    </row>
    <row r="489" spans="1:13" x14ac:dyDescent="0.25">
      <c r="B489" s="6" t="s">
        <v>986</v>
      </c>
      <c r="C489" s="15" t="s">
        <v>1154</v>
      </c>
      <c r="D489" s="7" t="s">
        <v>668</v>
      </c>
      <c r="E489" s="2" t="s">
        <v>934</v>
      </c>
      <c r="F489" s="7" t="s">
        <v>701</v>
      </c>
      <c r="G489" s="11">
        <f>9614+46</f>
        <v>9660</v>
      </c>
      <c r="H489" s="17">
        <f t="shared" si="33"/>
        <v>10143</v>
      </c>
      <c r="I489" s="17">
        <f t="shared" si="34"/>
        <v>10650.15</v>
      </c>
      <c r="J489" s="112">
        <f t="shared" si="35"/>
        <v>11502.162</v>
      </c>
      <c r="K489" s="112">
        <v>11502.162</v>
      </c>
      <c r="L489" s="17">
        <f t="shared" si="32"/>
        <v>6855.288552</v>
      </c>
      <c r="M489" t="s">
        <v>3246</v>
      </c>
    </row>
    <row r="490" spans="1:13" x14ac:dyDescent="0.25">
      <c r="B490" s="6" t="s">
        <v>987</v>
      </c>
      <c r="C490" s="15" t="s">
        <v>1154</v>
      </c>
      <c r="D490" s="7" t="s">
        <v>669</v>
      </c>
      <c r="E490" s="2" t="s">
        <v>935</v>
      </c>
      <c r="F490" s="7" t="s">
        <v>701</v>
      </c>
      <c r="G490" s="11">
        <f>10665+46</f>
        <v>10711</v>
      </c>
      <c r="H490" s="17">
        <f t="shared" si="33"/>
        <v>11246.550000000001</v>
      </c>
      <c r="I490" s="17">
        <f t="shared" si="34"/>
        <v>11808.877500000002</v>
      </c>
      <c r="J490" s="112">
        <f t="shared" si="35"/>
        <v>12753.587700000004</v>
      </c>
      <c r="K490" s="112">
        <v>12753.587700000004</v>
      </c>
      <c r="L490" s="17">
        <f t="shared" si="32"/>
        <v>7601.1382692000016</v>
      </c>
      <c r="M490" t="s">
        <v>3246</v>
      </c>
    </row>
    <row r="491" spans="1:13" x14ac:dyDescent="0.25">
      <c r="B491" s="6" t="s">
        <v>988</v>
      </c>
      <c r="C491" s="15" t="s">
        <v>1154</v>
      </c>
      <c r="D491" s="7" t="s">
        <v>670</v>
      </c>
      <c r="E491" s="2" t="s">
        <v>936</v>
      </c>
      <c r="F491" s="7" t="s">
        <v>701</v>
      </c>
      <c r="G491" s="11">
        <f>10919+46</f>
        <v>10965</v>
      </c>
      <c r="H491" s="17">
        <f t="shared" si="33"/>
        <v>11513.25</v>
      </c>
      <c r="I491" s="17">
        <f t="shared" si="34"/>
        <v>12088.9125</v>
      </c>
      <c r="J491" s="112">
        <f t="shared" si="35"/>
        <v>13056.025500000002</v>
      </c>
      <c r="K491" s="112">
        <v>13056.025500000002</v>
      </c>
      <c r="L491" s="17">
        <f t="shared" si="32"/>
        <v>7781.3911980000003</v>
      </c>
      <c r="M491" t="s">
        <v>3246</v>
      </c>
    </row>
    <row r="492" spans="1:13" x14ac:dyDescent="0.25">
      <c r="B492" s="6" t="s">
        <v>989</v>
      </c>
      <c r="C492" s="15" t="s">
        <v>1154</v>
      </c>
      <c r="D492" s="7" t="s">
        <v>671</v>
      </c>
      <c r="E492" s="2" t="s">
        <v>937</v>
      </c>
      <c r="F492" s="7" t="s">
        <v>701</v>
      </c>
      <c r="G492" s="11">
        <f>46+11176</f>
        <v>11222</v>
      </c>
      <c r="H492" s="17">
        <f t="shared" si="33"/>
        <v>11783.1</v>
      </c>
      <c r="I492" s="17">
        <f t="shared" si="34"/>
        <v>12372.255000000001</v>
      </c>
      <c r="J492" s="112">
        <f t="shared" si="35"/>
        <v>13362.035400000002</v>
      </c>
      <c r="K492" s="112">
        <v>13362.035400000002</v>
      </c>
      <c r="L492" s="17">
        <f t="shared" si="32"/>
        <v>7963.7730984000009</v>
      </c>
      <c r="M492" t="s">
        <v>3246</v>
      </c>
    </row>
    <row r="493" spans="1:13" x14ac:dyDescent="0.25">
      <c r="B493" s="6" t="s">
        <v>990</v>
      </c>
      <c r="C493" s="15" t="s">
        <v>1154</v>
      </c>
      <c r="D493" s="7" t="s">
        <v>672</v>
      </c>
      <c r="E493" s="2" t="s">
        <v>938</v>
      </c>
      <c r="F493" s="7" t="s">
        <v>701</v>
      </c>
      <c r="G493" s="11">
        <f>46+11432</f>
        <v>11478</v>
      </c>
      <c r="H493" s="17">
        <f t="shared" si="33"/>
        <v>12051.9</v>
      </c>
      <c r="I493" s="17">
        <f t="shared" si="34"/>
        <v>12654.495000000001</v>
      </c>
      <c r="J493" s="112">
        <f t="shared" si="35"/>
        <v>13666.854600000002</v>
      </c>
      <c r="K493" s="112">
        <v>13666.854600000002</v>
      </c>
      <c r="L493" s="17">
        <f t="shared" si="32"/>
        <v>8145.4453416000015</v>
      </c>
      <c r="M493" t="s">
        <v>3246</v>
      </c>
    </row>
    <row r="494" spans="1:13" x14ac:dyDescent="0.25">
      <c r="B494" s="6" t="s">
        <v>991</v>
      </c>
      <c r="C494" s="15" t="s">
        <v>1154</v>
      </c>
      <c r="D494" s="7" t="s">
        <v>673</v>
      </c>
      <c r="E494" s="2" t="s">
        <v>939</v>
      </c>
      <c r="F494" s="7" t="s">
        <v>701</v>
      </c>
      <c r="G494" s="11">
        <f>46+11867</f>
        <v>11913</v>
      </c>
      <c r="H494" s="17">
        <f t="shared" si="33"/>
        <v>12508.65</v>
      </c>
      <c r="I494" s="17">
        <f t="shared" si="34"/>
        <v>13134.0825</v>
      </c>
      <c r="J494" s="112">
        <f t="shared" si="35"/>
        <v>14184.809100000002</v>
      </c>
      <c r="K494" s="112">
        <v>14184.809100000002</v>
      </c>
      <c r="L494" s="17">
        <f t="shared" si="32"/>
        <v>8454.1462236000007</v>
      </c>
      <c r="M494" t="s">
        <v>3246</v>
      </c>
    </row>
    <row r="495" spans="1:13" x14ac:dyDescent="0.25">
      <c r="B495" s="6" t="s">
        <v>992</v>
      </c>
      <c r="C495" s="15" t="s">
        <v>1154</v>
      </c>
      <c r="D495" s="7" t="s">
        <v>674</v>
      </c>
      <c r="E495" s="2" t="s">
        <v>940</v>
      </c>
      <c r="F495" s="7" t="s">
        <v>703</v>
      </c>
      <c r="G495" s="11">
        <f>8239+46</f>
        <v>8285</v>
      </c>
      <c r="H495" s="17">
        <f t="shared" si="33"/>
        <v>8699.25</v>
      </c>
      <c r="I495" s="17">
        <f t="shared" si="34"/>
        <v>9134.2124999999996</v>
      </c>
      <c r="J495" s="112">
        <f t="shared" si="35"/>
        <v>9864.9495000000006</v>
      </c>
      <c r="K495" s="112">
        <v>9864.9495000000006</v>
      </c>
      <c r="L495" s="17">
        <f t="shared" si="32"/>
        <v>5879.5099019999998</v>
      </c>
      <c r="M495" t="s">
        <v>3246</v>
      </c>
    </row>
    <row r="496" spans="1:13" x14ac:dyDescent="0.25">
      <c r="B496" s="6" t="s">
        <v>993</v>
      </c>
      <c r="C496" s="15" t="s">
        <v>1154</v>
      </c>
      <c r="D496" s="7" t="s">
        <v>675</v>
      </c>
      <c r="E496" s="2" t="s">
        <v>941</v>
      </c>
      <c r="F496" s="7" t="s">
        <v>703</v>
      </c>
      <c r="G496" s="11">
        <f>8504+46</f>
        <v>8550</v>
      </c>
      <c r="H496" s="17">
        <f t="shared" si="33"/>
        <v>8977.5</v>
      </c>
      <c r="I496" s="17">
        <f t="shared" si="34"/>
        <v>9426.375</v>
      </c>
      <c r="J496" s="112">
        <f t="shared" si="35"/>
        <v>10180.485000000001</v>
      </c>
      <c r="K496" s="112">
        <v>10180.485000000001</v>
      </c>
      <c r="L496" s="17">
        <f t="shared" si="32"/>
        <v>6067.5690599999998</v>
      </c>
      <c r="M496" t="s">
        <v>3246</v>
      </c>
    </row>
    <row r="497" spans="2:13" x14ac:dyDescent="0.25">
      <c r="B497" s="6" t="s">
        <v>994</v>
      </c>
      <c r="C497" s="15" t="s">
        <v>1154</v>
      </c>
      <c r="D497" s="7" t="s">
        <v>676</v>
      </c>
      <c r="E497" s="2" t="s">
        <v>942</v>
      </c>
      <c r="F497" s="7" t="s">
        <v>704</v>
      </c>
      <c r="G497" s="11">
        <f>9356+46</f>
        <v>9402</v>
      </c>
      <c r="H497" s="17">
        <f t="shared" si="33"/>
        <v>9872.1</v>
      </c>
      <c r="I497" s="17">
        <f t="shared" si="34"/>
        <v>10365.705</v>
      </c>
      <c r="J497" s="112">
        <f t="shared" si="35"/>
        <v>11194.9614</v>
      </c>
      <c r="K497" s="112">
        <v>11194.9614</v>
      </c>
      <c r="L497" s="17">
        <f t="shared" si="32"/>
        <v>6672.1969944000002</v>
      </c>
      <c r="M497" t="s">
        <v>3246</v>
      </c>
    </row>
    <row r="498" spans="2:13" x14ac:dyDescent="0.25">
      <c r="B498" s="6" t="s">
        <v>995</v>
      </c>
      <c r="C498" s="15" t="s">
        <v>1154</v>
      </c>
      <c r="D498" s="7" t="s">
        <v>677</v>
      </c>
      <c r="E498" s="2" t="s">
        <v>943</v>
      </c>
      <c r="F498" s="7" t="s">
        <v>704</v>
      </c>
      <c r="G498" s="11">
        <f>9762+46</f>
        <v>9808</v>
      </c>
      <c r="H498" s="17">
        <f t="shared" si="33"/>
        <v>10298.4</v>
      </c>
      <c r="I498" s="17">
        <f t="shared" si="34"/>
        <v>10813.32</v>
      </c>
      <c r="J498" s="112">
        <f t="shared" si="35"/>
        <v>11678.3856</v>
      </c>
      <c r="K498" s="112">
        <v>11678.3856</v>
      </c>
      <c r="L498" s="17">
        <f t="shared" si="32"/>
        <v>6960.3178175999992</v>
      </c>
      <c r="M498" t="s">
        <v>3246</v>
      </c>
    </row>
    <row r="499" spans="2:13" x14ac:dyDescent="0.25">
      <c r="B499" s="6" t="s">
        <v>996</v>
      </c>
      <c r="C499" s="15" t="s">
        <v>1154</v>
      </c>
      <c r="D499" s="7" t="s">
        <v>678</v>
      </c>
      <c r="E499" s="2" t="s">
        <v>944</v>
      </c>
      <c r="F499" s="7" t="s">
        <v>704</v>
      </c>
      <c r="G499" s="11">
        <f>9759+46</f>
        <v>9805</v>
      </c>
      <c r="H499" s="17">
        <f t="shared" si="33"/>
        <v>10295.25</v>
      </c>
      <c r="I499" s="17">
        <f t="shared" si="34"/>
        <v>10810.012500000001</v>
      </c>
      <c r="J499" s="112">
        <f t="shared" si="35"/>
        <v>11674.813500000002</v>
      </c>
      <c r="K499" s="112">
        <v>11674.813500000002</v>
      </c>
      <c r="L499" s="17">
        <f t="shared" si="32"/>
        <v>6958.1888460000009</v>
      </c>
      <c r="M499" t="s">
        <v>3246</v>
      </c>
    </row>
    <row r="500" spans="2:13" x14ac:dyDescent="0.25">
      <c r="B500" s="6" t="s">
        <v>997</v>
      </c>
      <c r="C500" s="15" t="s">
        <v>1154</v>
      </c>
      <c r="D500" s="7" t="s">
        <v>679</v>
      </c>
      <c r="E500" s="2" t="s">
        <v>945</v>
      </c>
      <c r="F500" s="7" t="s">
        <v>704</v>
      </c>
      <c r="G500" s="11">
        <f>10043+46</f>
        <v>10089</v>
      </c>
      <c r="H500" s="17">
        <f t="shared" si="33"/>
        <v>10593.45</v>
      </c>
      <c r="I500" s="17">
        <f t="shared" si="34"/>
        <v>11123.122500000001</v>
      </c>
      <c r="J500" s="112">
        <f t="shared" si="35"/>
        <v>12012.972300000003</v>
      </c>
      <c r="K500" s="112">
        <v>12012.972300000003</v>
      </c>
      <c r="L500" s="17">
        <f t="shared" si="32"/>
        <v>7159.7314908000017</v>
      </c>
      <c r="M500" t="s">
        <v>3246</v>
      </c>
    </row>
    <row r="501" spans="2:13" x14ac:dyDescent="0.25">
      <c r="B501" s="6" t="s">
        <v>998</v>
      </c>
      <c r="C501" s="15" t="s">
        <v>1154</v>
      </c>
      <c r="D501" s="7" t="s">
        <v>680</v>
      </c>
      <c r="E501" s="2" t="s">
        <v>946</v>
      </c>
      <c r="F501" s="7" t="s">
        <v>704</v>
      </c>
      <c r="G501" s="11">
        <f>10297+46</f>
        <v>10343</v>
      </c>
      <c r="H501" s="17">
        <f t="shared" si="33"/>
        <v>10860.15</v>
      </c>
      <c r="I501" s="17">
        <f t="shared" si="34"/>
        <v>11403.157499999999</v>
      </c>
      <c r="J501" s="112">
        <f t="shared" si="35"/>
        <v>12315.410100000001</v>
      </c>
      <c r="K501" s="112">
        <v>12315.410100000001</v>
      </c>
      <c r="L501" s="17">
        <f t="shared" si="32"/>
        <v>7339.9844196000004</v>
      </c>
      <c r="M501" t="s">
        <v>3246</v>
      </c>
    </row>
    <row r="502" spans="2:13" x14ac:dyDescent="0.25">
      <c r="B502" s="6" t="s">
        <v>999</v>
      </c>
      <c r="C502" s="15" t="s">
        <v>1154</v>
      </c>
      <c r="D502" s="7" t="s">
        <v>681</v>
      </c>
      <c r="E502" s="2" t="s">
        <v>947</v>
      </c>
      <c r="F502" s="7" t="s">
        <v>704</v>
      </c>
      <c r="G502" s="11">
        <f>10552+46</f>
        <v>10598</v>
      </c>
      <c r="H502" s="17">
        <f t="shared" si="33"/>
        <v>11127.9</v>
      </c>
      <c r="I502" s="17">
        <f t="shared" si="34"/>
        <v>11684.295</v>
      </c>
      <c r="J502" s="112">
        <f t="shared" si="35"/>
        <v>12619.038600000002</v>
      </c>
      <c r="K502" s="112">
        <v>12619.038600000002</v>
      </c>
      <c r="L502" s="17">
        <f t="shared" si="32"/>
        <v>7520.9470056000009</v>
      </c>
      <c r="M502" t="s">
        <v>3246</v>
      </c>
    </row>
    <row r="503" spans="2:13" x14ac:dyDescent="0.25">
      <c r="B503" s="6" t="s">
        <v>1000</v>
      </c>
      <c r="C503" s="15" t="s">
        <v>1154</v>
      </c>
      <c r="D503" s="7" t="s">
        <v>682</v>
      </c>
      <c r="E503" s="2" t="s">
        <v>948</v>
      </c>
      <c r="F503" s="7" t="s">
        <v>704</v>
      </c>
      <c r="G503" s="11">
        <f>11742+46</f>
        <v>11788</v>
      </c>
      <c r="H503" s="17">
        <f t="shared" si="33"/>
        <v>12377.4</v>
      </c>
      <c r="I503" s="17">
        <f t="shared" si="34"/>
        <v>12996.27</v>
      </c>
      <c r="J503" s="112">
        <f t="shared" si="35"/>
        <v>14035.971600000001</v>
      </c>
      <c r="K503" s="112">
        <v>14035.971600000001</v>
      </c>
      <c r="L503" s="17">
        <f t="shared" si="32"/>
        <v>8365.4390736000005</v>
      </c>
      <c r="M503" t="s">
        <v>3246</v>
      </c>
    </row>
    <row r="504" spans="2:13" x14ac:dyDescent="0.25">
      <c r="B504" s="6" t="s">
        <v>1001</v>
      </c>
      <c r="C504" s="15" t="s">
        <v>1154</v>
      </c>
      <c r="D504" s="7" t="s">
        <v>683</v>
      </c>
      <c r="E504" s="2" t="s">
        <v>949</v>
      </c>
      <c r="F504" s="7" t="s">
        <v>704</v>
      </c>
      <c r="G504" s="11">
        <f>12030+46</f>
        <v>12076</v>
      </c>
      <c r="H504" s="17">
        <f t="shared" si="33"/>
        <v>12679.800000000001</v>
      </c>
      <c r="I504" s="17">
        <f t="shared" si="34"/>
        <v>13313.79</v>
      </c>
      <c r="J504" s="112">
        <f t="shared" si="35"/>
        <v>14378.893200000002</v>
      </c>
      <c r="K504" s="112">
        <v>14378.893200000002</v>
      </c>
      <c r="L504" s="17">
        <f t="shared" si="32"/>
        <v>8569.8203472000005</v>
      </c>
      <c r="M504" t="s">
        <v>3246</v>
      </c>
    </row>
    <row r="505" spans="2:13" x14ac:dyDescent="0.25">
      <c r="B505" s="6" t="s">
        <v>1002</v>
      </c>
      <c r="C505" s="15" t="s">
        <v>1154</v>
      </c>
      <c r="D505" s="7" t="s">
        <v>684</v>
      </c>
      <c r="E505" s="2" t="s">
        <v>950</v>
      </c>
      <c r="F505" s="7" t="s">
        <v>704</v>
      </c>
      <c r="G505" s="11">
        <f>12319+46</f>
        <v>12365</v>
      </c>
      <c r="H505" s="17">
        <f t="shared" si="33"/>
        <v>12983.25</v>
      </c>
      <c r="I505" s="17">
        <f t="shared" si="34"/>
        <v>13632.4125</v>
      </c>
      <c r="J505" s="112">
        <f t="shared" si="35"/>
        <v>14723.005500000001</v>
      </c>
      <c r="K505" s="112">
        <v>14723.005500000001</v>
      </c>
      <c r="L505" s="17">
        <f t="shared" si="32"/>
        <v>8774.9112779999996</v>
      </c>
      <c r="M505" t="s">
        <v>3246</v>
      </c>
    </row>
    <row r="506" spans="2:13" x14ac:dyDescent="0.25">
      <c r="B506" s="6" t="s">
        <v>1003</v>
      </c>
      <c r="C506" s="15" t="s">
        <v>1154</v>
      </c>
      <c r="D506" s="7" t="s">
        <v>685</v>
      </c>
      <c r="E506" s="2" t="s">
        <v>951</v>
      </c>
      <c r="F506" s="7" t="s">
        <v>704</v>
      </c>
      <c r="G506" s="11">
        <f>12607+46</f>
        <v>12653</v>
      </c>
      <c r="H506" s="17">
        <f t="shared" si="33"/>
        <v>13285.650000000001</v>
      </c>
      <c r="I506" s="17">
        <f t="shared" si="34"/>
        <v>13949.932500000003</v>
      </c>
      <c r="J506" s="112">
        <f t="shared" si="35"/>
        <v>15065.927100000004</v>
      </c>
      <c r="K506" s="112">
        <v>15065.927100000004</v>
      </c>
      <c r="L506" s="17">
        <f t="shared" si="32"/>
        <v>8979.2925516000014</v>
      </c>
      <c r="M506" t="s">
        <v>3246</v>
      </c>
    </row>
    <row r="507" spans="2:13" x14ac:dyDescent="0.25">
      <c r="B507" s="6" t="s">
        <v>1004</v>
      </c>
      <c r="C507" s="15" t="s">
        <v>1154</v>
      </c>
      <c r="D507" s="7" t="s">
        <v>686</v>
      </c>
      <c r="E507" s="2" t="s">
        <v>952</v>
      </c>
      <c r="F507" s="7" t="s">
        <v>704</v>
      </c>
      <c r="G507" s="11">
        <f>13060+46</f>
        <v>13106</v>
      </c>
      <c r="H507" s="17">
        <f t="shared" si="33"/>
        <v>13761.300000000001</v>
      </c>
      <c r="I507" s="17">
        <f t="shared" si="34"/>
        <v>14449.365000000002</v>
      </c>
      <c r="J507" s="112">
        <f t="shared" si="35"/>
        <v>15605.314200000003</v>
      </c>
      <c r="K507" s="112">
        <v>15605.314200000003</v>
      </c>
      <c r="L507" s="17">
        <f t="shared" si="32"/>
        <v>9300.7672632000013</v>
      </c>
      <c r="M507" t="s">
        <v>3246</v>
      </c>
    </row>
    <row r="508" spans="2:13" x14ac:dyDescent="0.25">
      <c r="B508" s="6" t="s">
        <v>1005</v>
      </c>
      <c r="C508" s="15" t="s">
        <v>1154</v>
      </c>
      <c r="D508" s="7" t="s">
        <v>687</v>
      </c>
      <c r="E508" s="2" t="s">
        <v>953</v>
      </c>
      <c r="F508" s="7" t="s">
        <v>703</v>
      </c>
      <c r="G508" s="11">
        <f>46+8847</f>
        <v>8893</v>
      </c>
      <c r="H508" s="17">
        <f t="shared" si="33"/>
        <v>9337.65</v>
      </c>
      <c r="I508" s="17">
        <f t="shared" si="34"/>
        <v>9804.5324999999993</v>
      </c>
      <c r="J508" s="112">
        <f t="shared" si="35"/>
        <v>10588.8951</v>
      </c>
      <c r="K508" s="112">
        <v>10588.8951</v>
      </c>
      <c r="L508" s="17">
        <f t="shared" si="32"/>
        <v>6310.9814795999991</v>
      </c>
      <c r="M508" t="s">
        <v>3246</v>
      </c>
    </row>
    <row r="509" spans="2:13" x14ac:dyDescent="0.25">
      <c r="B509" s="6" t="s">
        <v>1006</v>
      </c>
      <c r="C509" s="15" t="s">
        <v>1154</v>
      </c>
      <c r="D509" s="7" t="s">
        <v>688</v>
      </c>
      <c r="E509" s="2" t="s">
        <v>954</v>
      </c>
      <c r="F509" s="7" t="s">
        <v>703</v>
      </c>
      <c r="G509" s="11">
        <f>46+9142</f>
        <v>9188</v>
      </c>
      <c r="H509" s="17">
        <f t="shared" si="33"/>
        <v>9647.4</v>
      </c>
      <c r="I509" s="17">
        <f t="shared" si="34"/>
        <v>10129.77</v>
      </c>
      <c r="J509" s="112">
        <f t="shared" si="35"/>
        <v>10940.151600000001</v>
      </c>
      <c r="K509" s="112">
        <v>10940.151600000001</v>
      </c>
      <c r="L509" s="17">
        <f t="shared" si="32"/>
        <v>6520.3303536000003</v>
      </c>
      <c r="M509" t="s">
        <v>3246</v>
      </c>
    </row>
    <row r="510" spans="2:13" x14ac:dyDescent="0.25">
      <c r="B510" s="6" t="s">
        <v>1007</v>
      </c>
      <c r="C510" s="15" t="s">
        <v>1154</v>
      </c>
      <c r="D510" s="7" t="s">
        <v>689</v>
      </c>
      <c r="E510" s="2" t="s">
        <v>955</v>
      </c>
      <c r="F510" s="7" t="s">
        <v>704</v>
      </c>
      <c r="G510" s="11">
        <f>46+11268</f>
        <v>11314</v>
      </c>
      <c r="H510" s="17">
        <f t="shared" si="33"/>
        <v>11879.7</v>
      </c>
      <c r="I510" s="17">
        <f t="shared" si="34"/>
        <v>12473.685000000001</v>
      </c>
      <c r="J510" s="112">
        <f t="shared" si="35"/>
        <v>13471.579800000003</v>
      </c>
      <c r="K510" s="112">
        <v>13471.579800000003</v>
      </c>
      <c r="L510" s="17">
        <f t="shared" si="32"/>
        <v>8029.0615608000016</v>
      </c>
      <c r="M510" t="s">
        <v>3246</v>
      </c>
    </row>
    <row r="511" spans="2:13" x14ac:dyDescent="0.25">
      <c r="B511" s="6" t="s">
        <v>1008</v>
      </c>
      <c r="C511" s="15" t="s">
        <v>1154</v>
      </c>
      <c r="D511" s="7" t="s">
        <v>690</v>
      </c>
      <c r="E511" s="2" t="s">
        <v>956</v>
      </c>
      <c r="F511" s="7" t="s">
        <v>704</v>
      </c>
      <c r="G511" s="11">
        <f>46+10462</f>
        <v>10508</v>
      </c>
      <c r="H511" s="17">
        <f t="shared" si="33"/>
        <v>11033.4</v>
      </c>
      <c r="I511" s="17">
        <f t="shared" si="34"/>
        <v>11585.07</v>
      </c>
      <c r="J511" s="112">
        <f t="shared" si="35"/>
        <v>12511.875600000001</v>
      </c>
      <c r="K511" s="112">
        <v>12511.875600000001</v>
      </c>
      <c r="L511" s="17">
        <f t="shared" si="32"/>
        <v>7457.0778576000002</v>
      </c>
      <c r="M511" t="s">
        <v>3246</v>
      </c>
    </row>
    <row r="512" spans="2:13" x14ac:dyDescent="0.25">
      <c r="B512" s="6" t="s">
        <v>1009</v>
      </c>
      <c r="C512" s="15" t="s">
        <v>1154</v>
      </c>
      <c r="D512" s="7" t="s">
        <v>691</v>
      </c>
      <c r="E512" s="2" t="s">
        <v>957</v>
      </c>
      <c r="F512" s="7" t="s">
        <v>704</v>
      </c>
      <c r="G512" s="11">
        <f>46+10481</f>
        <v>10527</v>
      </c>
      <c r="H512" s="17">
        <f t="shared" si="33"/>
        <v>11053.35</v>
      </c>
      <c r="I512" s="17">
        <f t="shared" si="34"/>
        <v>11606.017500000002</v>
      </c>
      <c r="J512" s="112">
        <f t="shared" si="35"/>
        <v>12534.498900000002</v>
      </c>
      <c r="K512" s="112">
        <v>12534.498900000002</v>
      </c>
      <c r="L512" s="17">
        <f t="shared" si="32"/>
        <v>7470.561344400001</v>
      </c>
      <c r="M512" t="s">
        <v>3246</v>
      </c>
    </row>
    <row r="513" spans="1:17" x14ac:dyDescent="0.25">
      <c r="B513" s="6" t="s">
        <v>1010</v>
      </c>
      <c r="C513" s="15" t="s">
        <v>1154</v>
      </c>
      <c r="D513" s="7" t="s">
        <v>692</v>
      </c>
      <c r="E513" s="2" t="s">
        <v>958</v>
      </c>
      <c r="F513" s="7" t="s">
        <v>704</v>
      </c>
      <c r="G513" s="11">
        <f>46+10765</f>
        <v>10811</v>
      </c>
      <c r="H513" s="17">
        <f t="shared" si="33"/>
        <v>11351.550000000001</v>
      </c>
      <c r="I513" s="17">
        <f t="shared" si="34"/>
        <v>11919.127500000002</v>
      </c>
      <c r="J513" s="112">
        <f t="shared" si="35"/>
        <v>12872.657700000003</v>
      </c>
      <c r="K513" s="112">
        <v>12872.657700000003</v>
      </c>
      <c r="L513" s="17">
        <f t="shared" ref="L513:L576" si="36">K513*0.596</f>
        <v>7672.1039892000017</v>
      </c>
      <c r="M513" t="s">
        <v>3246</v>
      </c>
    </row>
    <row r="514" spans="1:17" x14ac:dyDescent="0.25">
      <c r="B514" s="6" t="s">
        <v>1011</v>
      </c>
      <c r="C514" s="15" t="s">
        <v>1154</v>
      </c>
      <c r="D514" s="7" t="s">
        <v>693</v>
      </c>
      <c r="E514" s="2" t="s">
        <v>959</v>
      </c>
      <c r="F514" s="7" t="s">
        <v>704</v>
      </c>
      <c r="G514" s="11">
        <f>46+11049</f>
        <v>11095</v>
      </c>
      <c r="H514" s="17">
        <f t="shared" ref="H514:H577" si="37">G514*1.05</f>
        <v>11649.75</v>
      </c>
      <c r="I514" s="17">
        <f t="shared" ref="I514:I577" si="38">H514*1.05</f>
        <v>12232.237500000001</v>
      </c>
      <c r="J514" s="112">
        <f t="shared" ref="J514:J577" si="39">I514*1.08</f>
        <v>13210.816500000003</v>
      </c>
      <c r="K514" s="112">
        <v>13210.816500000003</v>
      </c>
      <c r="L514" s="17">
        <f t="shared" si="36"/>
        <v>7873.6466340000015</v>
      </c>
      <c r="M514" t="s">
        <v>3246</v>
      </c>
    </row>
    <row r="515" spans="1:17" x14ac:dyDescent="0.25">
      <c r="B515" s="6" t="s">
        <v>1012</v>
      </c>
      <c r="C515" s="15" t="s">
        <v>1154</v>
      </c>
      <c r="D515" s="7" t="s">
        <v>694</v>
      </c>
      <c r="E515" s="2" t="s">
        <v>960</v>
      </c>
      <c r="F515" s="7" t="s">
        <v>704</v>
      </c>
      <c r="G515" s="11">
        <f>46+12730</f>
        <v>12776</v>
      </c>
      <c r="H515" s="17">
        <f t="shared" si="37"/>
        <v>13414.800000000001</v>
      </c>
      <c r="I515" s="17">
        <f t="shared" si="38"/>
        <v>14085.54</v>
      </c>
      <c r="J515" s="112">
        <f t="shared" si="39"/>
        <v>15212.383200000002</v>
      </c>
      <c r="K515" s="112">
        <v>15212.383200000002</v>
      </c>
      <c r="L515" s="17">
        <f t="shared" si="36"/>
        <v>9066.5803872000015</v>
      </c>
      <c r="M515" t="s">
        <v>3246</v>
      </c>
    </row>
    <row r="516" spans="1:17" x14ac:dyDescent="0.25">
      <c r="B516" s="6" t="s">
        <v>1013</v>
      </c>
      <c r="C516" s="15" t="s">
        <v>1154</v>
      </c>
      <c r="D516" s="7" t="s">
        <v>695</v>
      </c>
      <c r="E516" s="2" t="s">
        <v>961</v>
      </c>
      <c r="F516" s="7" t="s">
        <v>704</v>
      </c>
      <c r="G516" s="11">
        <f>46+12763</f>
        <v>12809</v>
      </c>
      <c r="H516" s="17">
        <f t="shared" si="37"/>
        <v>13449.45</v>
      </c>
      <c r="I516" s="17">
        <f t="shared" si="38"/>
        <v>14121.922500000001</v>
      </c>
      <c r="J516" s="112">
        <f t="shared" si="39"/>
        <v>15251.676300000001</v>
      </c>
      <c r="K516" s="112">
        <v>15251.676300000001</v>
      </c>
      <c r="L516" s="17">
        <f t="shared" si="36"/>
        <v>9089.9990748</v>
      </c>
      <c r="M516" t="s">
        <v>3246</v>
      </c>
    </row>
    <row r="517" spans="1:17" x14ac:dyDescent="0.25">
      <c r="B517" s="6" t="s">
        <v>1014</v>
      </c>
      <c r="C517" s="15" t="s">
        <v>1154</v>
      </c>
      <c r="D517" s="7" t="s">
        <v>696</v>
      </c>
      <c r="E517" s="2" t="s">
        <v>962</v>
      </c>
      <c r="F517" s="7" t="s">
        <v>704</v>
      </c>
      <c r="G517" s="11">
        <f>46+13088</f>
        <v>13134</v>
      </c>
      <c r="H517" s="17">
        <f t="shared" si="37"/>
        <v>13790.7</v>
      </c>
      <c r="I517" s="17">
        <f t="shared" si="38"/>
        <v>14480.235000000001</v>
      </c>
      <c r="J517" s="112">
        <f t="shared" si="39"/>
        <v>15638.653800000002</v>
      </c>
      <c r="K517" s="112">
        <v>15638.653800000002</v>
      </c>
      <c r="L517" s="17">
        <f t="shared" si="36"/>
        <v>9320.6376648000005</v>
      </c>
      <c r="M517" t="s">
        <v>3246</v>
      </c>
    </row>
    <row r="518" spans="1:17" x14ac:dyDescent="0.25">
      <c r="B518" s="6" t="s">
        <v>1015</v>
      </c>
      <c r="C518" s="15" t="s">
        <v>1154</v>
      </c>
      <c r="D518" s="7" t="s">
        <v>697</v>
      </c>
      <c r="E518" s="2" t="s">
        <v>963</v>
      </c>
      <c r="F518" s="7" t="s">
        <v>704</v>
      </c>
      <c r="G518" s="11">
        <f>46+13413</f>
        <v>13459</v>
      </c>
      <c r="H518" s="17">
        <f t="shared" si="37"/>
        <v>14131.95</v>
      </c>
      <c r="I518" s="17">
        <f t="shared" si="38"/>
        <v>14838.547500000001</v>
      </c>
      <c r="J518" s="112">
        <f t="shared" si="39"/>
        <v>16025.631300000001</v>
      </c>
      <c r="K518" s="112">
        <v>16025.631300000001</v>
      </c>
      <c r="L518" s="17">
        <f t="shared" si="36"/>
        <v>9551.276254800001</v>
      </c>
      <c r="M518" t="s">
        <v>3246</v>
      </c>
    </row>
    <row r="519" spans="1:17" x14ac:dyDescent="0.25">
      <c r="B519" s="6" t="s">
        <v>1016</v>
      </c>
      <c r="C519" s="15" t="s">
        <v>1154</v>
      </c>
      <c r="D519" s="7" t="s">
        <v>698</v>
      </c>
      <c r="E519" s="2" t="s">
        <v>964</v>
      </c>
      <c r="F519" s="7" t="s">
        <v>704</v>
      </c>
      <c r="G519" s="11">
        <f>46+13738</f>
        <v>13784</v>
      </c>
      <c r="H519" s="17">
        <f t="shared" si="37"/>
        <v>14473.2</v>
      </c>
      <c r="I519" s="17">
        <f t="shared" si="38"/>
        <v>15196.86</v>
      </c>
      <c r="J519" s="112">
        <f t="shared" si="39"/>
        <v>16412.608800000002</v>
      </c>
      <c r="K519" s="112">
        <v>16412.608800000002</v>
      </c>
      <c r="L519" s="17">
        <f t="shared" si="36"/>
        <v>9781.9148448000014</v>
      </c>
      <c r="M519" t="s">
        <v>3246</v>
      </c>
    </row>
    <row r="520" spans="1:17" x14ac:dyDescent="0.25">
      <c r="B520" s="6" t="s">
        <v>1017</v>
      </c>
      <c r="C520" s="15" t="s">
        <v>1154</v>
      </c>
      <c r="D520" s="7" t="s">
        <v>699</v>
      </c>
      <c r="E520" s="2" t="s">
        <v>965</v>
      </c>
      <c r="F520" s="7" t="s">
        <v>704</v>
      </c>
      <c r="G520" s="11">
        <f>14259+46</f>
        <v>14305</v>
      </c>
      <c r="H520" s="17">
        <f t="shared" si="37"/>
        <v>15020.25</v>
      </c>
      <c r="I520" s="17">
        <f t="shared" si="38"/>
        <v>15771.262500000001</v>
      </c>
      <c r="J520" s="112">
        <f t="shared" si="39"/>
        <v>17032.963500000002</v>
      </c>
      <c r="K520" s="112">
        <v>17032.963500000002</v>
      </c>
      <c r="L520" s="17">
        <f t="shared" si="36"/>
        <v>10151.646246</v>
      </c>
      <c r="M520" t="s">
        <v>3246</v>
      </c>
    </row>
    <row r="521" spans="1:17" s="62" customFormat="1" x14ac:dyDescent="0.25">
      <c r="A521" s="62" t="s">
        <v>2918</v>
      </c>
      <c r="B521" s="75" t="s">
        <v>2903</v>
      </c>
      <c r="C521" s="68"/>
      <c r="D521" s="63"/>
      <c r="E521" s="64"/>
      <c r="F521" s="63"/>
      <c r="G521" s="65"/>
      <c r="H521" s="17"/>
      <c r="I521" s="17">
        <f t="shared" si="38"/>
        <v>0</v>
      </c>
      <c r="J521" s="113"/>
      <c r="K521" s="70"/>
      <c r="L521" s="70"/>
    </row>
    <row r="522" spans="1:17" x14ac:dyDescent="0.25">
      <c r="A522" s="4"/>
      <c r="B522" s="6" t="s">
        <v>1018</v>
      </c>
      <c r="C522" s="15" t="s">
        <v>1155</v>
      </c>
      <c r="D522" s="7" t="s">
        <v>145</v>
      </c>
      <c r="E522" s="2" t="s">
        <v>354</v>
      </c>
      <c r="F522" s="7" t="s">
        <v>705</v>
      </c>
      <c r="G522" s="11">
        <v>7650</v>
      </c>
      <c r="H522" s="17">
        <f t="shared" si="37"/>
        <v>8032.5</v>
      </c>
      <c r="I522" s="17">
        <f t="shared" si="38"/>
        <v>8434.125</v>
      </c>
      <c r="J522" s="112">
        <f t="shared" si="39"/>
        <v>9108.8550000000014</v>
      </c>
      <c r="K522" s="112">
        <f>J522*1.11</f>
        <v>10110.829050000002</v>
      </c>
      <c r="L522" s="17">
        <f t="shared" si="36"/>
        <v>6026.0541138000008</v>
      </c>
      <c r="M522" t="s">
        <v>4001</v>
      </c>
    </row>
    <row r="523" spans="1:17" x14ac:dyDescent="0.25">
      <c r="A523" s="30"/>
      <c r="B523" s="6" t="s">
        <v>1019</v>
      </c>
      <c r="C523" s="15" t="s">
        <v>1155</v>
      </c>
      <c r="D523" s="7" t="s">
        <v>650</v>
      </c>
      <c r="E523" s="2" t="s">
        <v>916</v>
      </c>
      <c r="F523" s="7" t="s">
        <v>705</v>
      </c>
      <c r="G523" s="11">
        <v>7881</v>
      </c>
      <c r="H523" s="17">
        <f t="shared" si="37"/>
        <v>8275.0500000000011</v>
      </c>
      <c r="I523" s="17">
        <f t="shared" si="38"/>
        <v>8688.8025000000016</v>
      </c>
      <c r="J523" s="112">
        <f t="shared" si="39"/>
        <v>9383.9067000000032</v>
      </c>
      <c r="K523" s="112">
        <f t="shared" ref="K523:K573" si="40">J523*1.11</f>
        <v>10416.136437000005</v>
      </c>
      <c r="L523" s="17">
        <f t="shared" si="36"/>
        <v>6208.0173164520029</v>
      </c>
      <c r="M523" t="s">
        <v>4001</v>
      </c>
      <c r="O523" s="54"/>
      <c r="Q523" s="54"/>
    </row>
    <row r="524" spans="1:17" x14ac:dyDescent="0.25">
      <c r="B524" s="6" t="s">
        <v>1020</v>
      </c>
      <c r="C524" s="15" t="s">
        <v>1155</v>
      </c>
      <c r="D524" s="7" t="s">
        <v>651</v>
      </c>
      <c r="E524" s="2" t="s">
        <v>917</v>
      </c>
      <c r="F524" s="7" t="s">
        <v>706</v>
      </c>
      <c r="G524" s="11">
        <f>46+8807</f>
        <v>8853</v>
      </c>
      <c r="H524" s="17">
        <f t="shared" si="37"/>
        <v>9295.65</v>
      </c>
      <c r="I524" s="17">
        <f t="shared" si="38"/>
        <v>9760.4325000000008</v>
      </c>
      <c r="J524" s="112">
        <f t="shared" si="39"/>
        <v>10541.267100000001</v>
      </c>
      <c r="K524" s="112">
        <f t="shared" si="40"/>
        <v>11700.806481000001</v>
      </c>
      <c r="L524" s="17">
        <f t="shared" si="36"/>
        <v>6973.6806626760008</v>
      </c>
      <c r="M524" t="s">
        <v>4001</v>
      </c>
    </row>
    <row r="525" spans="1:17" x14ac:dyDescent="0.25">
      <c r="B525" s="6" t="s">
        <v>1021</v>
      </c>
      <c r="C525" s="15" t="s">
        <v>1155</v>
      </c>
      <c r="D525" s="7" t="s">
        <v>652</v>
      </c>
      <c r="E525" s="2" t="s">
        <v>918</v>
      </c>
      <c r="F525" s="7" t="s">
        <v>706</v>
      </c>
      <c r="G525" s="11">
        <f>46+9039</f>
        <v>9085</v>
      </c>
      <c r="H525" s="17">
        <f t="shared" si="37"/>
        <v>9539.25</v>
      </c>
      <c r="I525" s="17">
        <f t="shared" si="38"/>
        <v>10016.2125</v>
      </c>
      <c r="J525" s="112">
        <f t="shared" si="39"/>
        <v>10817.5095</v>
      </c>
      <c r="K525" s="112">
        <f t="shared" si="40"/>
        <v>12007.435545000002</v>
      </c>
      <c r="L525" s="17">
        <f t="shared" si="36"/>
        <v>7156.4315848200013</v>
      </c>
      <c r="M525" t="s">
        <v>4001</v>
      </c>
    </row>
    <row r="526" spans="1:17" x14ac:dyDescent="0.25">
      <c r="B526" s="6" t="s">
        <v>1022</v>
      </c>
      <c r="C526" s="15" t="s">
        <v>1155</v>
      </c>
      <c r="D526" s="7" t="s">
        <v>653</v>
      </c>
      <c r="E526" s="2" t="s">
        <v>919</v>
      </c>
      <c r="F526" s="7" t="s">
        <v>706</v>
      </c>
      <c r="G526" s="11">
        <f>46+9271</f>
        <v>9317</v>
      </c>
      <c r="H526" s="17">
        <f t="shared" si="37"/>
        <v>9782.85</v>
      </c>
      <c r="I526" s="17">
        <f t="shared" si="38"/>
        <v>10271.9925</v>
      </c>
      <c r="J526" s="112">
        <f t="shared" si="39"/>
        <v>11093.751900000001</v>
      </c>
      <c r="K526" s="112">
        <f t="shared" si="40"/>
        <v>12314.064609000003</v>
      </c>
      <c r="L526" s="17">
        <f t="shared" si="36"/>
        <v>7339.1825069640017</v>
      </c>
      <c r="M526" t="s">
        <v>4001</v>
      </c>
    </row>
    <row r="527" spans="1:17" x14ac:dyDescent="0.25">
      <c r="B527" s="6" t="s">
        <v>1023</v>
      </c>
      <c r="C527" s="15" t="s">
        <v>1155</v>
      </c>
      <c r="D527" s="7" t="s">
        <v>654</v>
      </c>
      <c r="E527" s="2" t="s">
        <v>920</v>
      </c>
      <c r="F527" s="7" t="s">
        <v>706</v>
      </c>
      <c r="G527" s="11">
        <f>46+9503</f>
        <v>9549</v>
      </c>
      <c r="H527" s="17">
        <f t="shared" si="37"/>
        <v>10026.450000000001</v>
      </c>
      <c r="I527" s="17">
        <f t="shared" si="38"/>
        <v>10527.772500000001</v>
      </c>
      <c r="J527" s="112">
        <f t="shared" si="39"/>
        <v>11369.994300000002</v>
      </c>
      <c r="K527" s="112">
        <f t="shared" si="40"/>
        <v>12620.693673000003</v>
      </c>
      <c r="L527" s="17">
        <f t="shared" si="36"/>
        <v>7521.9334291080013</v>
      </c>
      <c r="M527" t="s">
        <v>4001</v>
      </c>
    </row>
    <row r="528" spans="1:17" x14ac:dyDescent="0.25">
      <c r="B528" s="6" t="s">
        <v>1024</v>
      </c>
      <c r="C528" s="15" t="s">
        <v>1155</v>
      </c>
      <c r="D528" s="7" t="s">
        <v>655</v>
      </c>
      <c r="E528" s="2" t="s">
        <v>921</v>
      </c>
      <c r="F528" s="7" t="s">
        <v>706</v>
      </c>
      <c r="G528" s="11">
        <f>46+9736</f>
        <v>9782</v>
      </c>
      <c r="H528" s="17">
        <f t="shared" si="37"/>
        <v>10271.1</v>
      </c>
      <c r="I528" s="17">
        <f t="shared" si="38"/>
        <v>10784.655000000001</v>
      </c>
      <c r="J528" s="112">
        <f t="shared" si="39"/>
        <v>11647.427400000002</v>
      </c>
      <c r="K528" s="112">
        <f t="shared" si="40"/>
        <v>12928.644414000004</v>
      </c>
      <c r="L528" s="17">
        <f t="shared" si="36"/>
        <v>7705.4720707440019</v>
      </c>
      <c r="M528" t="s">
        <v>4001</v>
      </c>
    </row>
    <row r="529" spans="1:13" x14ac:dyDescent="0.25">
      <c r="B529" s="6" t="s">
        <v>1025</v>
      </c>
      <c r="C529" s="15" t="s">
        <v>1155</v>
      </c>
      <c r="D529" s="7" t="s">
        <v>656</v>
      </c>
      <c r="E529" s="2" t="s">
        <v>922</v>
      </c>
      <c r="F529" s="7" t="s">
        <v>706</v>
      </c>
      <c r="G529" s="11">
        <f>46+10353</f>
        <v>10399</v>
      </c>
      <c r="H529" s="17">
        <f t="shared" si="37"/>
        <v>10918.95</v>
      </c>
      <c r="I529" s="17">
        <f t="shared" si="38"/>
        <v>11464.897500000001</v>
      </c>
      <c r="J529" s="112">
        <f t="shared" si="39"/>
        <v>12382.089300000001</v>
      </c>
      <c r="K529" s="112">
        <f t="shared" si="40"/>
        <v>13744.119123000002</v>
      </c>
      <c r="L529" s="17">
        <f t="shared" si="36"/>
        <v>8191.4949973080011</v>
      </c>
      <c r="M529" t="s">
        <v>4001</v>
      </c>
    </row>
    <row r="530" spans="1:13" x14ac:dyDescent="0.25">
      <c r="B530" s="6" t="s">
        <v>1026</v>
      </c>
      <c r="C530" s="15" t="s">
        <v>1155</v>
      </c>
      <c r="D530" s="7" t="s">
        <v>657</v>
      </c>
      <c r="E530" s="2" t="s">
        <v>923</v>
      </c>
      <c r="F530" s="7" t="s">
        <v>706</v>
      </c>
      <c r="G530" s="11">
        <f>46+10600</f>
        <v>10646</v>
      </c>
      <c r="H530" s="17">
        <f t="shared" si="37"/>
        <v>11178.300000000001</v>
      </c>
      <c r="I530" s="17">
        <f t="shared" si="38"/>
        <v>11737.215000000002</v>
      </c>
      <c r="J530" s="112">
        <f t="shared" si="39"/>
        <v>12676.192200000003</v>
      </c>
      <c r="K530" s="112">
        <f t="shared" si="40"/>
        <v>14070.573342000005</v>
      </c>
      <c r="L530" s="17">
        <f t="shared" si="36"/>
        <v>8386.0617118320024</v>
      </c>
      <c r="M530" t="s">
        <v>4001</v>
      </c>
    </row>
    <row r="531" spans="1:13" x14ac:dyDescent="0.25">
      <c r="B531" s="6" t="s">
        <v>1027</v>
      </c>
      <c r="C531" s="15" t="s">
        <v>1155</v>
      </c>
      <c r="D531" s="7" t="s">
        <v>658</v>
      </c>
      <c r="E531" s="2" t="s">
        <v>924</v>
      </c>
      <c r="F531" s="7" t="s">
        <v>706</v>
      </c>
      <c r="G531" s="11">
        <f>46+10846</f>
        <v>10892</v>
      </c>
      <c r="H531" s="17">
        <f t="shared" si="37"/>
        <v>11436.6</v>
      </c>
      <c r="I531" s="17">
        <f t="shared" si="38"/>
        <v>12008.43</v>
      </c>
      <c r="J531" s="112">
        <f t="shared" si="39"/>
        <v>12969.104400000002</v>
      </c>
      <c r="K531" s="112">
        <f t="shared" si="40"/>
        <v>14395.705884000003</v>
      </c>
      <c r="L531" s="17">
        <f t="shared" si="36"/>
        <v>8579.8407068640008</v>
      </c>
      <c r="M531" t="s">
        <v>4001</v>
      </c>
    </row>
    <row r="532" spans="1:13" x14ac:dyDescent="0.25">
      <c r="B532" s="6" t="s">
        <v>1028</v>
      </c>
      <c r="C532" s="15" t="s">
        <v>1155</v>
      </c>
      <c r="D532" s="7" t="s">
        <v>659</v>
      </c>
      <c r="E532" s="2" t="s">
        <v>925</v>
      </c>
      <c r="F532" s="7" t="s">
        <v>706</v>
      </c>
      <c r="G532" s="11">
        <f>46+11092</f>
        <v>11138</v>
      </c>
      <c r="H532" s="17">
        <f t="shared" si="37"/>
        <v>11694.9</v>
      </c>
      <c r="I532" s="17">
        <f t="shared" si="38"/>
        <v>12279.645</v>
      </c>
      <c r="J532" s="112">
        <f t="shared" si="39"/>
        <v>13262.016600000001</v>
      </c>
      <c r="K532" s="112">
        <f t="shared" si="40"/>
        <v>14720.838426000002</v>
      </c>
      <c r="L532" s="17">
        <f t="shared" si="36"/>
        <v>8773.6197018960011</v>
      </c>
      <c r="M532" t="s">
        <v>4001</v>
      </c>
    </row>
    <row r="533" spans="1:13" x14ac:dyDescent="0.25">
      <c r="B533" s="6" t="s">
        <v>1029</v>
      </c>
      <c r="C533" s="15" t="s">
        <v>1155</v>
      </c>
      <c r="D533" s="7" t="s">
        <v>660</v>
      </c>
      <c r="E533" s="2" t="s">
        <v>926</v>
      </c>
      <c r="F533" s="7" t="s">
        <v>706</v>
      </c>
      <c r="G533" s="11">
        <f>46+11339</f>
        <v>11385</v>
      </c>
      <c r="H533" s="17">
        <f t="shared" si="37"/>
        <v>11954.25</v>
      </c>
      <c r="I533" s="17">
        <f t="shared" si="38"/>
        <v>12551.9625</v>
      </c>
      <c r="J533" s="112">
        <f t="shared" si="39"/>
        <v>13556.119500000001</v>
      </c>
      <c r="K533" s="112">
        <f t="shared" si="40"/>
        <v>15047.292645000001</v>
      </c>
      <c r="L533" s="17">
        <f t="shared" si="36"/>
        <v>8968.1864164199997</v>
      </c>
      <c r="M533" t="s">
        <v>4001</v>
      </c>
    </row>
    <row r="534" spans="1:13" x14ac:dyDescent="0.25">
      <c r="B534" s="6" t="s">
        <v>1030</v>
      </c>
      <c r="C534" s="15" t="s">
        <v>1155</v>
      </c>
      <c r="D534" s="7" t="s">
        <v>661</v>
      </c>
      <c r="E534" s="2" t="s">
        <v>927</v>
      </c>
      <c r="F534" s="7" t="s">
        <v>706</v>
      </c>
      <c r="G534" s="11">
        <f>46+11758</f>
        <v>11804</v>
      </c>
      <c r="H534" s="17">
        <f t="shared" si="37"/>
        <v>12394.2</v>
      </c>
      <c r="I534" s="17">
        <f t="shared" si="38"/>
        <v>13013.910000000002</v>
      </c>
      <c r="J534" s="112">
        <f t="shared" si="39"/>
        <v>14055.022800000002</v>
      </c>
      <c r="K534" s="112">
        <f t="shared" si="40"/>
        <v>15601.075308000005</v>
      </c>
      <c r="L534" s="17">
        <f t="shared" si="36"/>
        <v>9298.2408835680017</v>
      </c>
      <c r="M534" t="s">
        <v>4001</v>
      </c>
    </row>
    <row r="535" spans="1:13" x14ac:dyDescent="0.25">
      <c r="B535" s="6" t="s">
        <v>1031</v>
      </c>
      <c r="C535" s="15" t="s">
        <v>1155</v>
      </c>
      <c r="D535" s="7" t="s">
        <v>149</v>
      </c>
      <c r="E535" s="2" t="s">
        <v>365</v>
      </c>
      <c r="F535" s="7" t="s">
        <v>705</v>
      </c>
      <c r="G535" s="11">
        <f>46+8936</f>
        <v>8982</v>
      </c>
      <c r="H535" s="17">
        <f t="shared" si="37"/>
        <v>9431.1</v>
      </c>
      <c r="I535" s="17">
        <f t="shared" si="38"/>
        <v>9902.6550000000007</v>
      </c>
      <c r="J535" s="112">
        <f t="shared" si="39"/>
        <v>10694.867400000001</v>
      </c>
      <c r="K535" s="112">
        <f t="shared" si="40"/>
        <v>11871.302814000002</v>
      </c>
      <c r="L535" s="17">
        <f t="shared" si="36"/>
        <v>7075.2964771440011</v>
      </c>
      <c r="M535" t="s">
        <v>4001</v>
      </c>
    </row>
    <row r="536" spans="1:13" x14ac:dyDescent="0.25">
      <c r="A536" t="s">
        <v>2917</v>
      </c>
      <c r="B536" s="6" t="s">
        <v>1032</v>
      </c>
      <c r="C536" s="15" t="s">
        <v>1155</v>
      </c>
      <c r="D536" s="7" t="s">
        <v>662</v>
      </c>
      <c r="E536" s="2" t="s">
        <v>928</v>
      </c>
      <c r="F536" s="7" t="s">
        <v>705</v>
      </c>
      <c r="G536" s="11">
        <v>8459</v>
      </c>
      <c r="H536" s="17">
        <f t="shared" si="37"/>
        <v>8881.9500000000007</v>
      </c>
      <c r="I536" s="17">
        <f t="shared" si="38"/>
        <v>9326.0475000000006</v>
      </c>
      <c r="J536" s="112">
        <f t="shared" si="39"/>
        <v>10072.131300000001</v>
      </c>
      <c r="K536" s="112">
        <f t="shared" si="40"/>
        <v>11180.065743000003</v>
      </c>
      <c r="L536" s="17">
        <f t="shared" si="36"/>
        <v>6663.3191828280014</v>
      </c>
      <c r="M536" t="s">
        <v>4001</v>
      </c>
    </row>
    <row r="537" spans="1:13" x14ac:dyDescent="0.25">
      <c r="B537" s="6" t="s">
        <v>1033</v>
      </c>
      <c r="C537" s="15" t="s">
        <v>1155</v>
      </c>
      <c r="D537" s="7" t="s">
        <v>663</v>
      </c>
      <c r="E537" s="2" t="s">
        <v>929</v>
      </c>
      <c r="F537" s="7" t="s">
        <v>706</v>
      </c>
      <c r="G537" s="11">
        <f>46+9461</f>
        <v>9507</v>
      </c>
      <c r="H537" s="17">
        <f t="shared" si="37"/>
        <v>9982.35</v>
      </c>
      <c r="I537" s="17">
        <f t="shared" si="38"/>
        <v>10481.467500000001</v>
      </c>
      <c r="J537" s="112">
        <f t="shared" si="39"/>
        <v>11319.984900000001</v>
      </c>
      <c r="K537" s="112">
        <f t="shared" si="40"/>
        <v>12565.183239000002</v>
      </c>
      <c r="L537" s="17">
        <f t="shared" si="36"/>
        <v>7488.8492104440011</v>
      </c>
      <c r="M537" t="s">
        <v>4001</v>
      </c>
    </row>
    <row r="538" spans="1:13" x14ac:dyDescent="0.25">
      <c r="B538" s="6" t="s">
        <v>1034</v>
      </c>
      <c r="C538" s="15" t="s">
        <v>1155</v>
      </c>
      <c r="D538" s="7" t="s">
        <v>664</v>
      </c>
      <c r="E538" s="2" t="s">
        <v>930</v>
      </c>
      <c r="F538" s="7" t="s">
        <v>706</v>
      </c>
      <c r="G538" s="11">
        <f>46+9590</f>
        <v>9636</v>
      </c>
      <c r="H538" s="17">
        <f t="shared" si="37"/>
        <v>10117.800000000001</v>
      </c>
      <c r="I538" s="17">
        <f t="shared" si="38"/>
        <v>10623.690000000002</v>
      </c>
      <c r="J538" s="112">
        <f t="shared" si="39"/>
        <v>11473.585200000003</v>
      </c>
      <c r="K538" s="112">
        <f t="shared" si="40"/>
        <v>12735.679572000005</v>
      </c>
      <c r="L538" s="17">
        <f t="shared" si="36"/>
        <v>7590.4650249120023</v>
      </c>
      <c r="M538" t="s">
        <v>4001</v>
      </c>
    </row>
    <row r="539" spans="1:13" x14ac:dyDescent="0.25">
      <c r="B539" s="6" t="s">
        <v>1035</v>
      </c>
      <c r="C539" s="15" t="s">
        <v>1155</v>
      </c>
      <c r="D539" s="7" t="s">
        <v>665</v>
      </c>
      <c r="E539" s="2" t="s">
        <v>931</v>
      </c>
      <c r="F539" s="7" t="s">
        <v>706</v>
      </c>
      <c r="G539" s="11">
        <f>46+9667</f>
        <v>9713</v>
      </c>
      <c r="H539" s="17">
        <f t="shared" si="37"/>
        <v>10198.65</v>
      </c>
      <c r="I539" s="17">
        <f t="shared" si="38"/>
        <v>10708.5825</v>
      </c>
      <c r="J539" s="112">
        <f t="shared" si="39"/>
        <v>11565.269100000001</v>
      </c>
      <c r="K539" s="112">
        <f t="shared" si="40"/>
        <v>12837.448701000003</v>
      </c>
      <c r="L539" s="17">
        <f t="shared" si="36"/>
        <v>7651.1194257960015</v>
      </c>
      <c r="M539" t="s">
        <v>4001</v>
      </c>
    </row>
    <row r="540" spans="1:13" x14ac:dyDescent="0.25">
      <c r="B540" s="6" t="s">
        <v>1036</v>
      </c>
      <c r="C540" s="15" t="s">
        <v>1155</v>
      </c>
      <c r="D540" s="7" t="s">
        <v>666</v>
      </c>
      <c r="E540" s="2" t="s">
        <v>932</v>
      </c>
      <c r="F540" s="7" t="s">
        <v>706</v>
      </c>
      <c r="G540" s="11">
        <f>46+9917</f>
        <v>9963</v>
      </c>
      <c r="H540" s="17">
        <f t="shared" si="37"/>
        <v>10461.15</v>
      </c>
      <c r="I540" s="17">
        <f t="shared" si="38"/>
        <v>10984.2075</v>
      </c>
      <c r="J540" s="112">
        <f t="shared" si="39"/>
        <v>11862.944100000001</v>
      </c>
      <c r="K540" s="112">
        <f t="shared" si="40"/>
        <v>13167.867951000002</v>
      </c>
      <c r="L540" s="17">
        <f t="shared" si="36"/>
        <v>7848.0492987960006</v>
      </c>
      <c r="M540" t="s">
        <v>4001</v>
      </c>
    </row>
    <row r="541" spans="1:13" x14ac:dyDescent="0.25">
      <c r="B541" s="6" t="s">
        <v>1037</v>
      </c>
      <c r="C541" s="15" t="s">
        <v>1155</v>
      </c>
      <c r="D541" s="7" t="s">
        <v>667</v>
      </c>
      <c r="E541" s="2" t="s">
        <v>933</v>
      </c>
      <c r="F541" s="7" t="s">
        <v>706</v>
      </c>
      <c r="G541" s="11">
        <f>46+10181</f>
        <v>10227</v>
      </c>
      <c r="H541" s="17">
        <f t="shared" si="37"/>
        <v>10738.35</v>
      </c>
      <c r="I541" s="17">
        <f t="shared" si="38"/>
        <v>11275.267500000002</v>
      </c>
      <c r="J541" s="112">
        <f t="shared" si="39"/>
        <v>12177.288900000003</v>
      </c>
      <c r="K541" s="112">
        <f t="shared" si="40"/>
        <v>13516.790679000005</v>
      </c>
      <c r="L541" s="17">
        <f t="shared" si="36"/>
        <v>8056.0072446840031</v>
      </c>
      <c r="M541" t="s">
        <v>4001</v>
      </c>
    </row>
    <row r="542" spans="1:13" x14ac:dyDescent="0.25">
      <c r="B542" s="6" t="s">
        <v>1038</v>
      </c>
      <c r="C542" s="15" t="s">
        <v>1155</v>
      </c>
      <c r="D542" s="7" t="s">
        <v>668</v>
      </c>
      <c r="E542" s="2" t="s">
        <v>934</v>
      </c>
      <c r="F542" s="7" t="s">
        <v>706</v>
      </c>
      <c r="G542" s="11">
        <f>46+10431</f>
        <v>10477</v>
      </c>
      <c r="H542" s="17">
        <f t="shared" si="37"/>
        <v>11000.85</v>
      </c>
      <c r="I542" s="17">
        <f t="shared" si="38"/>
        <v>11550.892500000002</v>
      </c>
      <c r="J542" s="112">
        <f t="shared" si="39"/>
        <v>12474.963900000002</v>
      </c>
      <c r="K542" s="112">
        <f t="shared" si="40"/>
        <v>13847.209929000004</v>
      </c>
      <c r="L542" s="17">
        <f t="shared" si="36"/>
        <v>8252.9371176840014</v>
      </c>
      <c r="M542" t="s">
        <v>4001</v>
      </c>
    </row>
    <row r="543" spans="1:13" x14ac:dyDescent="0.25">
      <c r="B543" s="6" t="s">
        <v>1039</v>
      </c>
      <c r="C543" s="15" t="s">
        <v>1155</v>
      </c>
      <c r="D543" s="7" t="s">
        <v>669</v>
      </c>
      <c r="E543" s="2" t="s">
        <v>935</v>
      </c>
      <c r="F543" s="7" t="s">
        <v>706</v>
      </c>
      <c r="G543" s="11">
        <f>46+11587</f>
        <v>11633</v>
      </c>
      <c r="H543" s="17">
        <f t="shared" si="37"/>
        <v>12214.65</v>
      </c>
      <c r="I543" s="17">
        <f t="shared" si="38"/>
        <v>12825.3825</v>
      </c>
      <c r="J543" s="112">
        <f t="shared" si="39"/>
        <v>13851.4131</v>
      </c>
      <c r="K543" s="112">
        <f t="shared" si="40"/>
        <v>15375.068541000001</v>
      </c>
      <c r="L543" s="17">
        <f t="shared" si="36"/>
        <v>9163.5408504360003</v>
      </c>
      <c r="M543" t="s">
        <v>4001</v>
      </c>
    </row>
    <row r="544" spans="1:13" x14ac:dyDescent="0.25">
      <c r="B544" s="6" t="s">
        <v>1040</v>
      </c>
      <c r="C544" s="15" t="s">
        <v>1155</v>
      </c>
      <c r="D544" s="7" t="s">
        <v>670</v>
      </c>
      <c r="E544" s="2" t="s">
        <v>936</v>
      </c>
      <c r="F544" s="7" t="s">
        <v>706</v>
      </c>
      <c r="G544" s="11">
        <f>46+11867</f>
        <v>11913</v>
      </c>
      <c r="H544" s="17">
        <f t="shared" si="37"/>
        <v>12508.65</v>
      </c>
      <c r="I544" s="17">
        <f t="shared" si="38"/>
        <v>13134.0825</v>
      </c>
      <c r="J544" s="112">
        <f t="shared" si="39"/>
        <v>14184.809100000002</v>
      </c>
      <c r="K544" s="112">
        <f t="shared" si="40"/>
        <v>15745.138101000004</v>
      </c>
      <c r="L544" s="17">
        <f t="shared" si="36"/>
        <v>9384.1023081960029</v>
      </c>
      <c r="M544" t="s">
        <v>4001</v>
      </c>
    </row>
    <row r="545" spans="2:13" x14ac:dyDescent="0.25">
      <c r="B545" s="6" t="s">
        <v>1041</v>
      </c>
      <c r="C545" s="15" t="s">
        <v>1155</v>
      </c>
      <c r="D545" s="7" t="s">
        <v>671</v>
      </c>
      <c r="E545" s="2" t="s">
        <v>937</v>
      </c>
      <c r="F545" s="7" t="s">
        <v>706</v>
      </c>
      <c r="G545" s="11">
        <f>46+12148</f>
        <v>12194</v>
      </c>
      <c r="H545" s="17">
        <f t="shared" si="37"/>
        <v>12803.7</v>
      </c>
      <c r="I545" s="17">
        <f t="shared" si="38"/>
        <v>13443.885000000002</v>
      </c>
      <c r="J545" s="112">
        <f t="shared" si="39"/>
        <v>14519.395800000004</v>
      </c>
      <c r="K545" s="112">
        <f t="shared" si="40"/>
        <v>16116.529338000006</v>
      </c>
      <c r="L545" s="17">
        <f t="shared" si="36"/>
        <v>9605.4514854480021</v>
      </c>
      <c r="M545" t="s">
        <v>4001</v>
      </c>
    </row>
    <row r="546" spans="2:13" x14ac:dyDescent="0.25">
      <c r="B546" s="6" t="s">
        <v>1042</v>
      </c>
      <c r="C546" s="15" t="s">
        <v>1155</v>
      </c>
      <c r="D546" s="7" t="s">
        <v>672</v>
      </c>
      <c r="E546" s="2" t="s">
        <v>938</v>
      </c>
      <c r="F546" s="7" t="s">
        <v>706</v>
      </c>
      <c r="G546" s="11">
        <f>46+12430</f>
        <v>12476</v>
      </c>
      <c r="H546" s="17">
        <f t="shared" si="37"/>
        <v>13099.800000000001</v>
      </c>
      <c r="I546" s="17">
        <f t="shared" si="38"/>
        <v>13754.79</v>
      </c>
      <c r="J546" s="112">
        <f t="shared" si="39"/>
        <v>14855.173200000001</v>
      </c>
      <c r="K546" s="112">
        <f t="shared" si="40"/>
        <v>16489.242252000004</v>
      </c>
      <c r="L546" s="17">
        <f t="shared" si="36"/>
        <v>9827.5883821920015</v>
      </c>
      <c r="M546" t="s">
        <v>4001</v>
      </c>
    </row>
    <row r="547" spans="2:13" x14ac:dyDescent="0.25">
      <c r="B547" s="6" t="s">
        <v>1043</v>
      </c>
      <c r="C547" s="15" t="s">
        <v>1155</v>
      </c>
      <c r="D547" s="7" t="s">
        <v>673</v>
      </c>
      <c r="E547" s="2" t="s">
        <v>939</v>
      </c>
      <c r="F547" s="7" t="s">
        <v>706</v>
      </c>
      <c r="G547" s="11">
        <f>46+12908</f>
        <v>12954</v>
      </c>
      <c r="H547" s="17">
        <f t="shared" si="37"/>
        <v>13601.7</v>
      </c>
      <c r="I547" s="17">
        <f t="shared" si="38"/>
        <v>14281.785000000002</v>
      </c>
      <c r="J547" s="112">
        <f t="shared" si="39"/>
        <v>15424.327800000003</v>
      </c>
      <c r="K547" s="112">
        <f t="shared" si="40"/>
        <v>17121.003858000004</v>
      </c>
      <c r="L547" s="17">
        <f t="shared" si="36"/>
        <v>10204.118299368001</v>
      </c>
      <c r="M547" t="s">
        <v>4001</v>
      </c>
    </row>
    <row r="548" spans="2:13" x14ac:dyDescent="0.25">
      <c r="B548" s="6" t="s">
        <v>1044</v>
      </c>
      <c r="C548" s="15" t="s">
        <v>1155</v>
      </c>
      <c r="D548" s="7" t="s">
        <v>674</v>
      </c>
      <c r="E548" s="2" t="s">
        <v>940</v>
      </c>
      <c r="F548" s="7" t="s">
        <v>707</v>
      </c>
      <c r="G548" s="11">
        <f>46+8790</f>
        <v>8836</v>
      </c>
      <c r="H548" s="17">
        <f t="shared" si="37"/>
        <v>9277.8000000000011</v>
      </c>
      <c r="I548" s="17">
        <f t="shared" si="38"/>
        <v>9741.6900000000023</v>
      </c>
      <c r="J548" s="112">
        <f t="shared" si="39"/>
        <v>10521.025200000004</v>
      </c>
      <c r="K548" s="112">
        <f t="shared" si="40"/>
        <v>11678.337972000005</v>
      </c>
      <c r="L548" s="17">
        <f t="shared" si="36"/>
        <v>6960.2894313120023</v>
      </c>
      <c r="M548" t="s">
        <v>4001</v>
      </c>
    </row>
    <row r="549" spans="2:13" x14ac:dyDescent="0.25">
      <c r="B549" s="6" t="s">
        <v>1045</v>
      </c>
      <c r="C549" s="15" t="s">
        <v>1155</v>
      </c>
      <c r="D549" s="7" t="s">
        <v>675</v>
      </c>
      <c r="E549" s="2" t="s">
        <v>941</v>
      </c>
      <c r="F549" s="7" t="s">
        <v>707</v>
      </c>
      <c r="G549" s="11">
        <f>46+9821</f>
        <v>9867</v>
      </c>
      <c r="H549" s="17">
        <f t="shared" si="37"/>
        <v>10360.35</v>
      </c>
      <c r="I549" s="17">
        <f t="shared" si="38"/>
        <v>10878.3675</v>
      </c>
      <c r="J549" s="112">
        <f t="shared" si="39"/>
        <v>11748.636900000001</v>
      </c>
      <c r="K549" s="112">
        <f t="shared" si="40"/>
        <v>13040.986959000003</v>
      </c>
      <c r="L549" s="17">
        <f t="shared" si="36"/>
        <v>7772.4282275640016</v>
      </c>
      <c r="M549" t="s">
        <v>4001</v>
      </c>
    </row>
    <row r="550" spans="2:13" x14ac:dyDescent="0.25">
      <c r="B550" s="6" t="s">
        <v>1046</v>
      </c>
      <c r="C550" s="15" t="s">
        <v>1155</v>
      </c>
      <c r="D550" s="7" t="s">
        <v>676</v>
      </c>
      <c r="E550" s="2" t="s">
        <v>942</v>
      </c>
      <c r="F550" s="7" t="s">
        <v>708</v>
      </c>
      <c r="G550" s="11">
        <f>46+10112</f>
        <v>10158</v>
      </c>
      <c r="H550" s="17">
        <f t="shared" si="37"/>
        <v>10665.9</v>
      </c>
      <c r="I550" s="17">
        <f t="shared" si="38"/>
        <v>11199.195</v>
      </c>
      <c r="J550" s="112">
        <f t="shared" si="39"/>
        <v>12095.1306</v>
      </c>
      <c r="K550" s="112">
        <f t="shared" si="40"/>
        <v>13425.594966000002</v>
      </c>
      <c r="L550" s="17">
        <f t="shared" si="36"/>
        <v>8001.6545997360008</v>
      </c>
      <c r="M550" t="s">
        <v>4001</v>
      </c>
    </row>
    <row r="551" spans="2:13" x14ac:dyDescent="0.25">
      <c r="B551" s="6" t="s">
        <v>1047</v>
      </c>
      <c r="C551" s="15" t="s">
        <v>1155</v>
      </c>
      <c r="D551" s="7" t="s">
        <v>677</v>
      </c>
      <c r="E551" s="2" t="s">
        <v>943</v>
      </c>
      <c r="F551" s="7" t="s">
        <v>708</v>
      </c>
      <c r="G551" s="11">
        <f>46+10403</f>
        <v>10449</v>
      </c>
      <c r="H551" s="17">
        <f t="shared" si="37"/>
        <v>10971.45</v>
      </c>
      <c r="I551" s="17">
        <f t="shared" si="38"/>
        <v>11520.022500000001</v>
      </c>
      <c r="J551" s="112">
        <f t="shared" si="39"/>
        <v>12441.624300000001</v>
      </c>
      <c r="K551" s="112">
        <f t="shared" si="40"/>
        <v>13810.202973000003</v>
      </c>
      <c r="L551" s="17">
        <f t="shared" si="36"/>
        <v>8230.8809719080018</v>
      </c>
      <c r="M551" t="s">
        <v>4001</v>
      </c>
    </row>
    <row r="552" spans="2:13" x14ac:dyDescent="0.25">
      <c r="B552" s="6" t="s">
        <v>1048</v>
      </c>
      <c r="C552" s="15" t="s">
        <v>1155</v>
      </c>
      <c r="D552" s="7" t="s">
        <v>678</v>
      </c>
      <c r="E552" s="2" t="s">
        <v>944</v>
      </c>
      <c r="F552" s="7" t="s">
        <v>708</v>
      </c>
      <c r="G552" s="11">
        <f>46+10505</f>
        <v>10551</v>
      </c>
      <c r="H552" s="17">
        <f t="shared" si="37"/>
        <v>11078.550000000001</v>
      </c>
      <c r="I552" s="17">
        <f t="shared" si="38"/>
        <v>11632.477500000001</v>
      </c>
      <c r="J552" s="112">
        <f t="shared" si="39"/>
        <v>12563.075700000001</v>
      </c>
      <c r="K552" s="112">
        <f t="shared" si="40"/>
        <v>13945.014027000003</v>
      </c>
      <c r="L552" s="17">
        <f t="shared" si="36"/>
        <v>8311.2283600920018</v>
      </c>
      <c r="M552" t="s">
        <v>4001</v>
      </c>
    </row>
    <row r="553" spans="2:13" x14ac:dyDescent="0.25">
      <c r="B553" s="6" t="s">
        <v>1049</v>
      </c>
      <c r="C553" s="15" t="s">
        <v>1155</v>
      </c>
      <c r="D553" s="7" t="s">
        <v>679</v>
      </c>
      <c r="E553" s="2" t="s">
        <v>945</v>
      </c>
      <c r="F553" s="7" t="s">
        <v>708</v>
      </c>
      <c r="G553" s="11">
        <f>46+10712</f>
        <v>10758</v>
      </c>
      <c r="H553" s="17">
        <f t="shared" si="37"/>
        <v>11295.9</v>
      </c>
      <c r="I553" s="17">
        <f t="shared" si="38"/>
        <v>11860.695</v>
      </c>
      <c r="J553" s="112">
        <f t="shared" si="39"/>
        <v>12809.5506</v>
      </c>
      <c r="K553" s="112">
        <f t="shared" si="40"/>
        <v>14218.601166000002</v>
      </c>
      <c r="L553" s="17">
        <f t="shared" si="36"/>
        <v>8474.2862949360006</v>
      </c>
      <c r="M553" t="s">
        <v>4001</v>
      </c>
    </row>
    <row r="554" spans="2:13" x14ac:dyDescent="0.25">
      <c r="B554" s="6" t="s">
        <v>1050</v>
      </c>
      <c r="C554" s="15" t="s">
        <v>1155</v>
      </c>
      <c r="D554" s="7" t="s">
        <v>680</v>
      </c>
      <c r="E554" s="2" t="s">
        <v>946</v>
      </c>
      <c r="F554" s="7" t="s">
        <v>708</v>
      </c>
      <c r="G554" s="11">
        <f>46+10991</f>
        <v>11037</v>
      </c>
      <c r="H554" s="17">
        <f t="shared" si="37"/>
        <v>11588.85</v>
      </c>
      <c r="I554" s="17">
        <f t="shared" si="38"/>
        <v>12168.292500000001</v>
      </c>
      <c r="J554" s="112">
        <f t="shared" si="39"/>
        <v>13141.755900000002</v>
      </c>
      <c r="K554" s="112">
        <f t="shared" si="40"/>
        <v>14587.349049000004</v>
      </c>
      <c r="L554" s="17">
        <f t="shared" si="36"/>
        <v>8694.0600332040012</v>
      </c>
      <c r="M554" t="s">
        <v>4001</v>
      </c>
    </row>
    <row r="555" spans="2:13" x14ac:dyDescent="0.25">
      <c r="B555" s="6" t="s">
        <v>1051</v>
      </c>
      <c r="C555" s="15" t="s">
        <v>1155</v>
      </c>
      <c r="D555" s="7" t="s">
        <v>681</v>
      </c>
      <c r="E555" s="2" t="s">
        <v>947</v>
      </c>
      <c r="F555" s="7" t="s">
        <v>708</v>
      </c>
      <c r="G555" s="11">
        <f>46+11272</f>
        <v>11318</v>
      </c>
      <c r="H555" s="17">
        <f t="shared" si="37"/>
        <v>11883.9</v>
      </c>
      <c r="I555" s="17">
        <f t="shared" si="38"/>
        <v>12478.094999999999</v>
      </c>
      <c r="J555" s="112">
        <f t="shared" si="39"/>
        <v>13476.3426</v>
      </c>
      <c r="K555" s="112">
        <f t="shared" si="40"/>
        <v>14958.740286000002</v>
      </c>
      <c r="L555" s="17">
        <f t="shared" si="36"/>
        <v>8915.4092104560004</v>
      </c>
      <c r="M555" t="s">
        <v>4001</v>
      </c>
    </row>
    <row r="556" spans="2:13" x14ac:dyDescent="0.25">
      <c r="B556" s="6" t="s">
        <v>1052</v>
      </c>
      <c r="C556" s="15" t="s">
        <v>1155</v>
      </c>
      <c r="D556" s="7" t="s">
        <v>682</v>
      </c>
      <c r="E556" s="2" t="s">
        <v>948</v>
      </c>
      <c r="F556" s="7" t="s">
        <v>708</v>
      </c>
      <c r="G556" s="11">
        <f>46+12580</f>
        <v>12626</v>
      </c>
      <c r="H556" s="17">
        <f t="shared" si="37"/>
        <v>13257.300000000001</v>
      </c>
      <c r="I556" s="17">
        <f t="shared" si="38"/>
        <v>13920.165000000001</v>
      </c>
      <c r="J556" s="112">
        <f t="shared" si="39"/>
        <v>15033.778200000002</v>
      </c>
      <c r="K556" s="112">
        <f t="shared" si="40"/>
        <v>16687.493802000005</v>
      </c>
      <c r="L556" s="17">
        <f t="shared" si="36"/>
        <v>9945.7463059920028</v>
      </c>
      <c r="M556" t="s">
        <v>4001</v>
      </c>
    </row>
    <row r="557" spans="2:13" x14ac:dyDescent="0.25">
      <c r="B557" s="6" t="s">
        <v>1053</v>
      </c>
      <c r="C557" s="15" t="s">
        <v>1155</v>
      </c>
      <c r="D557" s="7" t="s">
        <v>683</v>
      </c>
      <c r="E557" s="2" t="s">
        <v>949</v>
      </c>
      <c r="F557" s="7" t="s">
        <v>708</v>
      </c>
      <c r="G557" s="11">
        <f>46+12898</f>
        <v>12944</v>
      </c>
      <c r="H557" s="17">
        <f t="shared" si="37"/>
        <v>13591.2</v>
      </c>
      <c r="I557" s="17">
        <f t="shared" si="38"/>
        <v>14270.760000000002</v>
      </c>
      <c r="J557" s="112">
        <f t="shared" si="39"/>
        <v>15412.420800000004</v>
      </c>
      <c r="K557" s="112">
        <f t="shared" si="40"/>
        <v>17107.787088000005</v>
      </c>
      <c r="L557" s="17">
        <f t="shared" si="36"/>
        <v>10196.241104448003</v>
      </c>
      <c r="M557" t="s">
        <v>4001</v>
      </c>
    </row>
    <row r="558" spans="2:13" x14ac:dyDescent="0.25">
      <c r="B558" s="6" t="s">
        <v>1054</v>
      </c>
      <c r="C558" s="15" t="s">
        <v>1155</v>
      </c>
      <c r="D558" s="7" t="s">
        <v>684</v>
      </c>
      <c r="E558" s="2" t="s">
        <v>950</v>
      </c>
      <c r="F558" s="7" t="s">
        <v>708</v>
      </c>
      <c r="G558" s="11">
        <f>46+13216</f>
        <v>13262</v>
      </c>
      <c r="H558" s="17">
        <f t="shared" si="37"/>
        <v>13925.1</v>
      </c>
      <c r="I558" s="17">
        <f t="shared" si="38"/>
        <v>14621.355000000001</v>
      </c>
      <c r="J558" s="112">
        <f t="shared" si="39"/>
        <v>15791.063400000003</v>
      </c>
      <c r="K558" s="112">
        <f t="shared" si="40"/>
        <v>17528.080374000005</v>
      </c>
      <c r="L558" s="17">
        <f t="shared" si="36"/>
        <v>10446.735902904002</v>
      </c>
      <c r="M558" t="s">
        <v>4001</v>
      </c>
    </row>
    <row r="559" spans="2:13" x14ac:dyDescent="0.25">
      <c r="B559" s="6" t="s">
        <v>1055</v>
      </c>
      <c r="C559" s="15" t="s">
        <v>1155</v>
      </c>
      <c r="D559" s="7" t="s">
        <v>685</v>
      </c>
      <c r="E559" s="2" t="s">
        <v>951</v>
      </c>
      <c r="F559" s="7" t="s">
        <v>708</v>
      </c>
      <c r="G559" s="11">
        <f>46+13532</f>
        <v>13578</v>
      </c>
      <c r="H559" s="17">
        <f t="shared" si="37"/>
        <v>14256.900000000001</v>
      </c>
      <c r="I559" s="17">
        <f t="shared" si="38"/>
        <v>14969.745000000003</v>
      </c>
      <c r="J559" s="112">
        <f t="shared" si="39"/>
        <v>16167.324600000004</v>
      </c>
      <c r="K559" s="112">
        <f t="shared" si="40"/>
        <v>17945.730306000005</v>
      </c>
      <c r="L559" s="17">
        <f t="shared" si="36"/>
        <v>10695.655262376002</v>
      </c>
      <c r="M559" t="s">
        <v>4001</v>
      </c>
    </row>
    <row r="560" spans="2:13" x14ac:dyDescent="0.25">
      <c r="B560" s="6" t="s">
        <v>1056</v>
      </c>
      <c r="C560" s="15" t="s">
        <v>1155</v>
      </c>
      <c r="D560" s="7" t="s">
        <v>686</v>
      </c>
      <c r="E560" s="2" t="s">
        <v>952</v>
      </c>
      <c r="F560" s="7" t="s">
        <v>708</v>
      </c>
      <c r="G560" s="11">
        <f>46+14031</f>
        <v>14077</v>
      </c>
      <c r="H560" s="17">
        <f t="shared" si="37"/>
        <v>14780.85</v>
      </c>
      <c r="I560" s="17">
        <f t="shared" si="38"/>
        <v>15519.892500000002</v>
      </c>
      <c r="J560" s="112">
        <f t="shared" si="39"/>
        <v>16761.483900000003</v>
      </c>
      <c r="K560" s="112">
        <f t="shared" si="40"/>
        <v>18605.247129000003</v>
      </c>
      <c r="L560" s="17">
        <f t="shared" si="36"/>
        <v>11088.727288884002</v>
      </c>
      <c r="M560" t="s">
        <v>4001</v>
      </c>
    </row>
    <row r="561" spans="1:13" x14ac:dyDescent="0.25">
      <c r="B561" s="6" t="s">
        <v>1057</v>
      </c>
      <c r="C561" s="15" t="s">
        <v>1155</v>
      </c>
      <c r="D561" s="7" t="s">
        <v>687</v>
      </c>
      <c r="E561" s="2" t="s">
        <v>953</v>
      </c>
      <c r="F561" s="7" t="s">
        <v>707</v>
      </c>
      <c r="G561" s="11">
        <f>46+9584</f>
        <v>9630</v>
      </c>
      <c r="H561" s="17">
        <f t="shared" si="37"/>
        <v>10111.5</v>
      </c>
      <c r="I561" s="17">
        <f t="shared" si="38"/>
        <v>10617.075000000001</v>
      </c>
      <c r="J561" s="112">
        <f t="shared" si="39"/>
        <v>11466.441000000001</v>
      </c>
      <c r="K561" s="112">
        <f t="shared" si="40"/>
        <v>12727.749510000001</v>
      </c>
      <c r="L561" s="17">
        <f t="shared" si="36"/>
        <v>7585.7387079600003</v>
      </c>
      <c r="M561" t="s">
        <v>4001</v>
      </c>
    </row>
    <row r="562" spans="1:13" x14ac:dyDescent="0.25">
      <c r="B562" s="6" t="s">
        <v>1058</v>
      </c>
      <c r="C562" s="15" t="s">
        <v>1155</v>
      </c>
      <c r="D562" s="7" t="s">
        <v>688</v>
      </c>
      <c r="E562" s="2" t="s">
        <v>954</v>
      </c>
      <c r="F562" s="7" t="s">
        <v>707</v>
      </c>
      <c r="G562" s="11">
        <f>46+10711</f>
        <v>10757</v>
      </c>
      <c r="H562" s="17">
        <f t="shared" si="37"/>
        <v>11294.85</v>
      </c>
      <c r="I562" s="17">
        <f t="shared" si="38"/>
        <v>11859.592500000001</v>
      </c>
      <c r="J562" s="112">
        <f t="shared" si="39"/>
        <v>12808.359900000001</v>
      </c>
      <c r="K562" s="112">
        <f t="shared" si="40"/>
        <v>14217.279489000002</v>
      </c>
      <c r="L562" s="17">
        <f t="shared" si="36"/>
        <v>8473.4985754440004</v>
      </c>
      <c r="M562" t="s">
        <v>4001</v>
      </c>
    </row>
    <row r="563" spans="1:13" x14ac:dyDescent="0.25">
      <c r="B563" s="6" t="s">
        <v>1059</v>
      </c>
      <c r="C563" s="15" t="s">
        <v>1155</v>
      </c>
      <c r="D563" s="7" t="s">
        <v>689</v>
      </c>
      <c r="E563" s="2" t="s">
        <v>955</v>
      </c>
      <c r="F563" s="7" t="s">
        <v>708</v>
      </c>
      <c r="G563" s="11">
        <f>46+11037</f>
        <v>11083</v>
      </c>
      <c r="H563" s="17">
        <f t="shared" si="37"/>
        <v>11637.15</v>
      </c>
      <c r="I563" s="17">
        <f t="shared" si="38"/>
        <v>12219.0075</v>
      </c>
      <c r="J563" s="112">
        <f t="shared" si="39"/>
        <v>13196.528100000001</v>
      </c>
      <c r="K563" s="112">
        <f t="shared" si="40"/>
        <v>14648.146191000003</v>
      </c>
      <c r="L563" s="17">
        <f t="shared" si="36"/>
        <v>8730.2951298360022</v>
      </c>
      <c r="M563" t="s">
        <v>4001</v>
      </c>
    </row>
    <row r="564" spans="1:13" x14ac:dyDescent="0.25">
      <c r="B564" s="6" t="s">
        <v>1060</v>
      </c>
      <c r="C564" s="15" t="s">
        <v>1155</v>
      </c>
      <c r="D564" s="7" t="s">
        <v>690</v>
      </c>
      <c r="E564" s="2" t="s">
        <v>956</v>
      </c>
      <c r="F564" s="7" t="s">
        <v>708</v>
      </c>
      <c r="G564" s="11">
        <f>46+11361</f>
        <v>11407</v>
      </c>
      <c r="H564" s="17">
        <f t="shared" si="37"/>
        <v>11977.35</v>
      </c>
      <c r="I564" s="17">
        <f t="shared" si="38"/>
        <v>12576.217500000001</v>
      </c>
      <c r="J564" s="112">
        <f t="shared" si="39"/>
        <v>13582.314900000001</v>
      </c>
      <c r="K564" s="112">
        <f t="shared" si="40"/>
        <v>15076.369539000003</v>
      </c>
      <c r="L564" s="17">
        <f t="shared" si="36"/>
        <v>8985.5162452440018</v>
      </c>
      <c r="M564" t="s">
        <v>4001</v>
      </c>
    </row>
    <row r="565" spans="1:13" x14ac:dyDescent="0.25">
      <c r="B565" s="6" t="s">
        <v>1061</v>
      </c>
      <c r="C565" s="15" t="s">
        <v>1155</v>
      </c>
      <c r="D565" s="7" t="s">
        <v>691</v>
      </c>
      <c r="E565" s="2" t="s">
        <v>957</v>
      </c>
      <c r="F565" s="7" t="s">
        <v>708</v>
      </c>
      <c r="G565" s="11">
        <f>46+11382</f>
        <v>11428</v>
      </c>
      <c r="H565" s="17">
        <f t="shared" si="37"/>
        <v>11999.4</v>
      </c>
      <c r="I565" s="17">
        <f t="shared" si="38"/>
        <v>12599.37</v>
      </c>
      <c r="J565" s="112">
        <f t="shared" si="39"/>
        <v>13607.319600000003</v>
      </c>
      <c r="K565" s="112">
        <f t="shared" si="40"/>
        <v>15104.124756000005</v>
      </c>
      <c r="L565" s="17">
        <f t="shared" si="36"/>
        <v>9002.0583545760019</v>
      </c>
      <c r="M565" t="s">
        <v>4001</v>
      </c>
    </row>
    <row r="566" spans="1:13" x14ac:dyDescent="0.25">
      <c r="B566" s="6" t="s">
        <v>1062</v>
      </c>
      <c r="C566" s="15" t="s">
        <v>1155</v>
      </c>
      <c r="D566" s="7" t="s">
        <v>692</v>
      </c>
      <c r="E566" s="2" t="s">
        <v>958</v>
      </c>
      <c r="F566" s="7" t="s">
        <v>708</v>
      </c>
      <c r="G566" s="11">
        <f>46+11695</f>
        <v>11741</v>
      </c>
      <c r="H566" s="17">
        <f t="shared" si="37"/>
        <v>12328.050000000001</v>
      </c>
      <c r="I566" s="17">
        <f t="shared" si="38"/>
        <v>12944.452500000001</v>
      </c>
      <c r="J566" s="112">
        <f t="shared" si="39"/>
        <v>13980.008700000002</v>
      </c>
      <c r="K566" s="112">
        <f t="shared" si="40"/>
        <v>15517.809657000003</v>
      </c>
      <c r="L566" s="17">
        <f t="shared" si="36"/>
        <v>9248.6145555720013</v>
      </c>
      <c r="M566" t="s">
        <v>4001</v>
      </c>
    </row>
    <row r="567" spans="1:13" x14ac:dyDescent="0.25">
      <c r="B567" s="6" t="s">
        <v>1063</v>
      </c>
      <c r="C567" s="15" t="s">
        <v>1155</v>
      </c>
      <c r="D567" s="7" t="s">
        <v>693</v>
      </c>
      <c r="E567" s="2" t="s">
        <v>959</v>
      </c>
      <c r="F567" s="7" t="s">
        <v>708</v>
      </c>
      <c r="G567" s="11">
        <f>46+12007</f>
        <v>12053</v>
      </c>
      <c r="H567" s="17">
        <f t="shared" si="37"/>
        <v>12655.65</v>
      </c>
      <c r="I567" s="17">
        <f t="shared" si="38"/>
        <v>13288.432500000001</v>
      </c>
      <c r="J567" s="112">
        <f t="shared" si="39"/>
        <v>14351.507100000003</v>
      </c>
      <c r="K567" s="112">
        <f t="shared" si="40"/>
        <v>15930.172881000004</v>
      </c>
      <c r="L567" s="17">
        <f t="shared" si="36"/>
        <v>9494.3830370760024</v>
      </c>
      <c r="M567" t="s">
        <v>4001</v>
      </c>
    </row>
    <row r="568" spans="1:13" x14ac:dyDescent="0.25">
      <c r="B568" s="6" t="s">
        <v>1064</v>
      </c>
      <c r="C568" s="15" t="s">
        <v>1155</v>
      </c>
      <c r="D568" s="7" t="s">
        <v>694</v>
      </c>
      <c r="E568" s="2" t="s">
        <v>960</v>
      </c>
      <c r="F568" s="7" t="s">
        <v>708</v>
      </c>
      <c r="G568" s="11">
        <f>46+12319</f>
        <v>12365</v>
      </c>
      <c r="H568" s="17">
        <f t="shared" si="37"/>
        <v>12983.25</v>
      </c>
      <c r="I568" s="17">
        <f t="shared" si="38"/>
        <v>13632.4125</v>
      </c>
      <c r="J568" s="112">
        <f t="shared" si="39"/>
        <v>14723.005500000001</v>
      </c>
      <c r="K568" s="112">
        <f t="shared" si="40"/>
        <v>16342.536105000003</v>
      </c>
      <c r="L568" s="17">
        <f t="shared" si="36"/>
        <v>9740.1515185800017</v>
      </c>
      <c r="M568" t="s">
        <v>4001</v>
      </c>
    </row>
    <row r="569" spans="1:13" x14ac:dyDescent="0.25">
      <c r="B569" s="6" t="s">
        <v>1065</v>
      </c>
      <c r="C569" s="15" t="s">
        <v>1155</v>
      </c>
      <c r="D569" s="7" t="s">
        <v>695</v>
      </c>
      <c r="E569" s="2" t="s">
        <v>961</v>
      </c>
      <c r="F569" s="7" t="s">
        <v>708</v>
      </c>
      <c r="G569" s="11">
        <f>46+13893</f>
        <v>13939</v>
      </c>
      <c r="H569" s="17">
        <f t="shared" si="37"/>
        <v>14635.95</v>
      </c>
      <c r="I569" s="17">
        <f t="shared" si="38"/>
        <v>15367.747500000001</v>
      </c>
      <c r="J569" s="112">
        <f t="shared" si="39"/>
        <v>16597.167300000001</v>
      </c>
      <c r="K569" s="112">
        <f t="shared" si="40"/>
        <v>18422.855703000001</v>
      </c>
      <c r="L569" s="17">
        <f t="shared" si="36"/>
        <v>10980.021998988001</v>
      </c>
      <c r="M569" t="s">
        <v>4001</v>
      </c>
    </row>
    <row r="570" spans="1:13" x14ac:dyDescent="0.25">
      <c r="B570" s="6" t="s">
        <v>1066</v>
      </c>
      <c r="C570" s="15" t="s">
        <v>1155</v>
      </c>
      <c r="D570" s="7" t="s">
        <v>696</v>
      </c>
      <c r="E570" s="2" t="s">
        <v>962</v>
      </c>
      <c r="F570" s="7" t="s">
        <v>708</v>
      </c>
      <c r="G570" s="11">
        <f>46+14250</f>
        <v>14296</v>
      </c>
      <c r="H570" s="17">
        <f t="shared" si="37"/>
        <v>15010.800000000001</v>
      </c>
      <c r="I570" s="17">
        <f t="shared" si="38"/>
        <v>15761.340000000002</v>
      </c>
      <c r="J570" s="112">
        <f t="shared" si="39"/>
        <v>17022.247200000002</v>
      </c>
      <c r="K570" s="112">
        <f t="shared" si="40"/>
        <v>18894.694392000005</v>
      </c>
      <c r="L570" s="17">
        <f t="shared" si="36"/>
        <v>11261.237857632002</v>
      </c>
      <c r="M570" t="s">
        <v>4001</v>
      </c>
    </row>
    <row r="571" spans="1:13" x14ac:dyDescent="0.25">
      <c r="B571" s="6" t="s">
        <v>1067</v>
      </c>
      <c r="C571" s="15" t="s">
        <v>1155</v>
      </c>
      <c r="D571" s="7" t="s">
        <v>697</v>
      </c>
      <c r="E571" s="2" t="s">
        <v>963</v>
      </c>
      <c r="F571" s="7" t="s">
        <v>708</v>
      </c>
      <c r="G571" s="11">
        <f>46+14608</f>
        <v>14654</v>
      </c>
      <c r="H571" s="17">
        <f t="shared" si="37"/>
        <v>15386.7</v>
      </c>
      <c r="I571" s="17">
        <f t="shared" si="38"/>
        <v>16156.035000000002</v>
      </c>
      <c r="J571" s="112">
        <f t="shared" si="39"/>
        <v>17448.517800000001</v>
      </c>
      <c r="K571" s="112">
        <f t="shared" si="40"/>
        <v>19367.854758000005</v>
      </c>
      <c r="L571" s="17">
        <f t="shared" si="36"/>
        <v>11543.241435768003</v>
      </c>
      <c r="M571" t="s">
        <v>4001</v>
      </c>
    </row>
    <row r="572" spans="1:13" x14ac:dyDescent="0.25">
      <c r="B572" s="6" t="s">
        <v>1068</v>
      </c>
      <c r="C572" s="15" t="s">
        <v>1155</v>
      </c>
      <c r="D572" s="7" t="s">
        <v>698</v>
      </c>
      <c r="E572" s="2" t="s">
        <v>964</v>
      </c>
      <c r="F572" s="7" t="s">
        <v>708</v>
      </c>
      <c r="G572" s="11">
        <f>46+14965</f>
        <v>15011</v>
      </c>
      <c r="H572" s="17">
        <f t="shared" si="37"/>
        <v>15761.550000000001</v>
      </c>
      <c r="I572" s="17">
        <f t="shared" si="38"/>
        <v>16549.627500000002</v>
      </c>
      <c r="J572" s="112">
        <f t="shared" si="39"/>
        <v>17873.597700000002</v>
      </c>
      <c r="K572" s="112">
        <f t="shared" si="40"/>
        <v>19839.693447000005</v>
      </c>
      <c r="L572" s="17">
        <f t="shared" si="36"/>
        <v>11824.457294412003</v>
      </c>
      <c r="M572" t="s">
        <v>4001</v>
      </c>
    </row>
    <row r="573" spans="1:13" x14ac:dyDescent="0.25">
      <c r="B573" s="6" t="s">
        <v>1069</v>
      </c>
      <c r="C573" s="15" t="s">
        <v>1155</v>
      </c>
      <c r="D573" s="7" t="s">
        <v>699</v>
      </c>
      <c r="E573" s="2" t="s">
        <v>965</v>
      </c>
      <c r="F573" s="7" t="s">
        <v>708</v>
      </c>
      <c r="G573" s="11">
        <f>46+15539</f>
        <v>15585</v>
      </c>
      <c r="H573" s="17">
        <f t="shared" si="37"/>
        <v>16364.25</v>
      </c>
      <c r="I573" s="17">
        <f t="shared" si="38"/>
        <v>17182.462500000001</v>
      </c>
      <c r="J573" s="112">
        <f t="shared" si="39"/>
        <v>18557.059500000003</v>
      </c>
      <c r="K573" s="112">
        <f t="shared" si="40"/>
        <v>20598.336045000004</v>
      </c>
      <c r="L573" s="17">
        <f t="shared" si="36"/>
        <v>12276.608282820001</v>
      </c>
      <c r="M573" t="s">
        <v>4001</v>
      </c>
    </row>
    <row r="574" spans="1:13" s="62" customFormat="1" x14ac:dyDescent="0.25">
      <c r="A574" s="62" t="s">
        <v>2905</v>
      </c>
      <c r="B574" s="75" t="s">
        <v>2900</v>
      </c>
      <c r="C574" s="68"/>
      <c r="D574" s="63"/>
      <c r="E574" s="64"/>
      <c r="F574" s="63"/>
      <c r="G574" s="65"/>
      <c r="H574" s="17"/>
      <c r="I574" s="17">
        <f t="shared" si="38"/>
        <v>0</v>
      </c>
      <c r="J574" s="113"/>
      <c r="K574" s="70"/>
      <c r="L574" s="70"/>
    </row>
    <row r="575" spans="1:13" x14ac:dyDescent="0.25">
      <c r="A575" s="4"/>
      <c r="B575" s="6" t="s">
        <v>1094</v>
      </c>
      <c r="C575" s="7" t="s">
        <v>1277</v>
      </c>
      <c r="D575" s="7" t="s">
        <v>1142</v>
      </c>
      <c r="E575" s="2" t="s">
        <v>1070</v>
      </c>
      <c r="F575" s="7" t="s">
        <v>1182</v>
      </c>
      <c r="G575" s="11">
        <v>1698</v>
      </c>
      <c r="H575" s="17">
        <f t="shared" si="37"/>
        <v>1782.9</v>
      </c>
      <c r="I575" s="17">
        <f t="shared" si="38"/>
        <v>1872.0450000000001</v>
      </c>
      <c r="J575" s="112">
        <f t="shared" si="39"/>
        <v>2021.8086000000003</v>
      </c>
      <c r="K575" s="112">
        <v>2021.8086000000003</v>
      </c>
      <c r="L575" s="17">
        <f t="shared" si="36"/>
        <v>1204.9979256000001</v>
      </c>
      <c r="M575" t="s">
        <v>3246</v>
      </c>
    </row>
    <row r="576" spans="1:13" x14ac:dyDescent="0.25">
      <c r="A576" s="30"/>
      <c r="B576" s="6" t="s">
        <v>1095</v>
      </c>
      <c r="C576" s="7" t="s">
        <v>1278</v>
      </c>
      <c r="D576" s="7" t="s">
        <v>1142</v>
      </c>
      <c r="E576" s="2" t="s">
        <v>1071</v>
      </c>
      <c r="F576" s="7" t="s">
        <v>1183</v>
      </c>
      <c r="G576" s="11">
        <v>1322</v>
      </c>
      <c r="H576" s="17">
        <f t="shared" si="37"/>
        <v>1388.1000000000001</v>
      </c>
      <c r="I576" s="17">
        <f t="shared" si="38"/>
        <v>1457.5050000000001</v>
      </c>
      <c r="J576" s="112">
        <f t="shared" si="39"/>
        <v>1574.1054000000001</v>
      </c>
      <c r="K576" s="112">
        <v>1574.1054000000001</v>
      </c>
      <c r="L576" s="17">
        <f t="shared" si="36"/>
        <v>938.16681840000001</v>
      </c>
      <c r="M576" t="s">
        <v>3246</v>
      </c>
    </row>
    <row r="577" spans="1:13" x14ac:dyDescent="0.25">
      <c r="A577" t="s">
        <v>2919</v>
      </c>
      <c r="B577" s="6" t="s">
        <v>1096</v>
      </c>
      <c r="C577" s="7" t="s">
        <v>1277</v>
      </c>
      <c r="D577" s="7" t="s">
        <v>1143</v>
      </c>
      <c r="E577" s="2" t="s">
        <v>1072</v>
      </c>
      <c r="F577" s="7" t="s">
        <v>1182</v>
      </c>
      <c r="G577" s="11">
        <v>1733</v>
      </c>
      <c r="H577" s="17">
        <f t="shared" si="37"/>
        <v>1819.65</v>
      </c>
      <c r="I577" s="17">
        <f t="shared" si="38"/>
        <v>1910.6325000000002</v>
      </c>
      <c r="J577" s="112">
        <f t="shared" si="39"/>
        <v>2063.4831000000004</v>
      </c>
      <c r="K577" s="112">
        <v>2063.4831000000004</v>
      </c>
      <c r="L577" s="17">
        <f t="shared" ref="L577:L640" si="41">K577*0.596</f>
        <v>1229.8359276000001</v>
      </c>
      <c r="M577" t="s">
        <v>3246</v>
      </c>
    </row>
    <row r="578" spans="1:13" x14ac:dyDescent="0.25">
      <c r="B578" s="6" t="s">
        <v>1097</v>
      </c>
      <c r="C578" s="7" t="s">
        <v>1278</v>
      </c>
      <c r="D578" s="7" t="s">
        <v>1143</v>
      </c>
      <c r="E578" s="2" t="s">
        <v>1073</v>
      </c>
      <c r="F578" s="7" t="s">
        <v>1183</v>
      </c>
      <c r="G578" s="11">
        <v>1657</v>
      </c>
      <c r="H578" s="17">
        <f t="shared" ref="H578:H640" si="42">G578*1.05</f>
        <v>1739.8500000000001</v>
      </c>
      <c r="I578" s="17">
        <f t="shared" ref="I578:I641" si="43">H578*1.05</f>
        <v>1826.8425000000002</v>
      </c>
      <c r="J578" s="112">
        <f t="shared" ref="J578:J640" si="44">I578*1.08</f>
        <v>1972.9899000000003</v>
      </c>
      <c r="K578" s="112">
        <v>1972.9899000000003</v>
      </c>
      <c r="L578" s="17">
        <f t="shared" si="41"/>
        <v>1175.9019804000002</v>
      </c>
      <c r="M578" t="s">
        <v>3246</v>
      </c>
    </row>
    <row r="579" spans="1:13" x14ac:dyDescent="0.25">
      <c r="B579" s="6" t="s">
        <v>1098</v>
      </c>
      <c r="C579" s="7" t="s">
        <v>1277</v>
      </c>
      <c r="D579" s="7" t="s">
        <v>1144</v>
      </c>
      <c r="E579" s="2" t="s">
        <v>1074</v>
      </c>
      <c r="F579" s="7" t="s">
        <v>1182</v>
      </c>
      <c r="G579" s="11">
        <v>1775</v>
      </c>
      <c r="H579" s="17">
        <f t="shared" si="42"/>
        <v>1863.75</v>
      </c>
      <c r="I579" s="17">
        <f t="shared" si="43"/>
        <v>1956.9375</v>
      </c>
      <c r="J579" s="112">
        <f t="shared" si="44"/>
        <v>2113.4925000000003</v>
      </c>
      <c r="K579" s="112">
        <v>2113.4925000000003</v>
      </c>
      <c r="L579" s="17">
        <f t="shared" si="41"/>
        <v>1259.6415300000001</v>
      </c>
      <c r="M579" t="s">
        <v>3246</v>
      </c>
    </row>
    <row r="580" spans="1:13" x14ac:dyDescent="0.25">
      <c r="B580" s="6" t="s">
        <v>1099</v>
      </c>
      <c r="C580" s="7" t="s">
        <v>1278</v>
      </c>
      <c r="D580" s="7" t="s">
        <v>1144</v>
      </c>
      <c r="E580" s="2" t="s">
        <v>1075</v>
      </c>
      <c r="F580" s="7" t="s">
        <v>1183</v>
      </c>
      <c r="G580" s="11">
        <v>1697</v>
      </c>
      <c r="H580" s="17">
        <f t="shared" si="42"/>
        <v>1781.8500000000001</v>
      </c>
      <c r="I580" s="17">
        <f t="shared" si="43"/>
        <v>1870.9425000000001</v>
      </c>
      <c r="J580" s="112">
        <f t="shared" si="44"/>
        <v>2020.6179000000002</v>
      </c>
      <c r="K580" s="112">
        <v>2020.6179000000002</v>
      </c>
      <c r="L580" s="17">
        <f t="shared" si="41"/>
        <v>1204.2882684000001</v>
      </c>
      <c r="M580" t="s">
        <v>3246</v>
      </c>
    </row>
    <row r="581" spans="1:13" x14ac:dyDescent="0.25">
      <c r="B581" s="6" t="s">
        <v>1100</v>
      </c>
      <c r="C581" s="7" t="s">
        <v>1277</v>
      </c>
      <c r="D581" s="7" t="s">
        <v>1145</v>
      </c>
      <c r="E581" s="2" t="s">
        <v>1076</v>
      </c>
      <c r="F581" s="7" t="s">
        <v>1182</v>
      </c>
      <c r="G581" s="11">
        <v>1851</v>
      </c>
      <c r="H581" s="17">
        <f t="shared" si="42"/>
        <v>1943.5500000000002</v>
      </c>
      <c r="I581" s="17">
        <f t="shared" si="43"/>
        <v>2040.7275000000002</v>
      </c>
      <c r="J581" s="112">
        <f t="shared" si="44"/>
        <v>2203.9857000000002</v>
      </c>
      <c r="K581" s="112">
        <v>2203.9857000000002</v>
      </c>
      <c r="L581" s="17">
        <f t="shared" si="41"/>
        <v>1313.5754772</v>
      </c>
      <c r="M581" t="s">
        <v>3246</v>
      </c>
    </row>
    <row r="582" spans="1:13" x14ac:dyDescent="0.25">
      <c r="B582" s="6" t="s">
        <v>1101</v>
      </c>
      <c r="C582" s="7" t="s">
        <v>1278</v>
      </c>
      <c r="D582" s="7" t="s">
        <v>1145</v>
      </c>
      <c r="E582" s="2" t="s">
        <v>1077</v>
      </c>
      <c r="F582" s="7" t="s">
        <v>1183</v>
      </c>
      <c r="G582" s="11">
        <v>1773</v>
      </c>
      <c r="H582" s="17">
        <f t="shared" si="42"/>
        <v>1861.65</v>
      </c>
      <c r="I582" s="17">
        <f t="shared" si="43"/>
        <v>1954.7325000000001</v>
      </c>
      <c r="J582" s="112">
        <f t="shared" si="44"/>
        <v>2111.1111000000001</v>
      </c>
      <c r="K582" s="112">
        <v>2111.1111000000001</v>
      </c>
      <c r="L582" s="17">
        <f t="shared" si="41"/>
        <v>1258.2222156</v>
      </c>
      <c r="M582" t="s">
        <v>3246</v>
      </c>
    </row>
    <row r="583" spans="1:13" x14ac:dyDescent="0.25">
      <c r="B583" s="6" t="s">
        <v>1102</v>
      </c>
      <c r="C583" s="7" t="s">
        <v>1277</v>
      </c>
      <c r="D583" s="7" t="s">
        <v>1146</v>
      </c>
      <c r="E583" s="2" t="s">
        <v>1078</v>
      </c>
      <c r="F583" s="7" t="s">
        <v>1182</v>
      </c>
      <c r="G583" s="11">
        <v>1887</v>
      </c>
      <c r="H583" s="17">
        <f t="shared" si="42"/>
        <v>1981.3500000000001</v>
      </c>
      <c r="I583" s="17">
        <f t="shared" si="43"/>
        <v>2080.4175</v>
      </c>
      <c r="J583" s="112">
        <f t="shared" si="44"/>
        <v>2246.8509000000004</v>
      </c>
      <c r="K583" s="112">
        <v>2246.8509000000004</v>
      </c>
      <c r="L583" s="17">
        <f t="shared" si="41"/>
        <v>1339.1231364000002</v>
      </c>
      <c r="M583" t="s">
        <v>3246</v>
      </c>
    </row>
    <row r="584" spans="1:13" x14ac:dyDescent="0.25">
      <c r="B584" s="6" t="s">
        <v>1103</v>
      </c>
      <c r="C584" s="7" t="s">
        <v>1278</v>
      </c>
      <c r="D584" s="7" t="s">
        <v>1146</v>
      </c>
      <c r="E584" s="2" t="s">
        <v>1079</v>
      </c>
      <c r="F584" s="7" t="s">
        <v>1183</v>
      </c>
      <c r="G584" s="11">
        <v>1810</v>
      </c>
      <c r="H584" s="17">
        <f t="shared" si="42"/>
        <v>1900.5</v>
      </c>
      <c r="I584" s="17">
        <f t="shared" si="43"/>
        <v>1995.5250000000001</v>
      </c>
      <c r="J584" s="112">
        <f t="shared" si="44"/>
        <v>2155.1670000000004</v>
      </c>
      <c r="K584" s="112">
        <v>2155.1670000000004</v>
      </c>
      <c r="L584" s="17">
        <f t="shared" si="41"/>
        <v>1284.4795320000001</v>
      </c>
      <c r="M584" t="s">
        <v>3246</v>
      </c>
    </row>
    <row r="585" spans="1:13" x14ac:dyDescent="0.25">
      <c r="B585" s="6" t="s">
        <v>1104</v>
      </c>
      <c r="C585" s="7" t="s">
        <v>1277</v>
      </c>
      <c r="D585" s="7" t="s">
        <v>1147</v>
      </c>
      <c r="E585" s="2" t="s">
        <v>1080</v>
      </c>
      <c r="F585" s="7" t="s">
        <v>1182</v>
      </c>
      <c r="G585" s="11">
        <v>2019</v>
      </c>
      <c r="H585" s="17">
        <f t="shared" si="42"/>
        <v>2119.9500000000003</v>
      </c>
      <c r="I585" s="17">
        <f t="shared" si="43"/>
        <v>2225.9475000000002</v>
      </c>
      <c r="J585" s="112">
        <f t="shared" si="44"/>
        <v>2404.0233000000003</v>
      </c>
      <c r="K585" s="112">
        <v>2404.0233000000003</v>
      </c>
      <c r="L585" s="17">
        <f t="shared" si="41"/>
        <v>1432.7978868</v>
      </c>
      <c r="M585" t="s">
        <v>3246</v>
      </c>
    </row>
    <row r="586" spans="1:13" x14ac:dyDescent="0.25">
      <c r="B586" s="6" t="s">
        <v>1105</v>
      </c>
      <c r="C586" s="7" t="s">
        <v>1278</v>
      </c>
      <c r="D586" s="7" t="s">
        <v>1147</v>
      </c>
      <c r="E586" s="2" t="s">
        <v>1081</v>
      </c>
      <c r="F586" s="7" t="s">
        <v>1183</v>
      </c>
      <c r="G586" s="11">
        <v>1942</v>
      </c>
      <c r="H586" s="17">
        <f t="shared" si="42"/>
        <v>2039.1000000000001</v>
      </c>
      <c r="I586" s="17">
        <f t="shared" si="43"/>
        <v>2141.0550000000003</v>
      </c>
      <c r="J586" s="112">
        <f t="shared" si="44"/>
        <v>2312.3394000000003</v>
      </c>
      <c r="K586" s="112">
        <v>2312.3394000000003</v>
      </c>
      <c r="L586" s="17">
        <f t="shared" si="41"/>
        <v>1378.1542824000001</v>
      </c>
      <c r="M586" t="s">
        <v>3246</v>
      </c>
    </row>
    <row r="587" spans="1:13" x14ac:dyDescent="0.25">
      <c r="B587" s="6" t="s">
        <v>1106</v>
      </c>
      <c r="C587" s="7" t="s">
        <v>1277</v>
      </c>
      <c r="D587" s="7" t="s">
        <v>1148</v>
      </c>
      <c r="E587" s="2" t="s">
        <v>1082</v>
      </c>
      <c r="F587" s="7" t="s">
        <v>1182</v>
      </c>
      <c r="G587" s="11">
        <v>1731</v>
      </c>
      <c r="H587" s="17">
        <f t="shared" si="42"/>
        <v>1817.5500000000002</v>
      </c>
      <c r="I587" s="17">
        <f t="shared" si="43"/>
        <v>1908.4275000000002</v>
      </c>
      <c r="J587" s="112">
        <f t="shared" si="44"/>
        <v>2061.1017000000002</v>
      </c>
      <c r="K587" s="112">
        <v>2061.1017000000002</v>
      </c>
      <c r="L587" s="17">
        <f t="shared" si="41"/>
        <v>1228.4166132</v>
      </c>
      <c r="M587" t="s">
        <v>3246</v>
      </c>
    </row>
    <row r="588" spans="1:13" x14ac:dyDescent="0.25">
      <c r="B588" s="6" t="s">
        <v>1107</v>
      </c>
      <c r="C588" s="7" t="s">
        <v>1278</v>
      </c>
      <c r="D588" s="7" t="s">
        <v>1148</v>
      </c>
      <c r="E588" s="2" t="s">
        <v>1083</v>
      </c>
      <c r="F588" s="7" t="s">
        <v>1183</v>
      </c>
      <c r="G588" s="11">
        <v>1657</v>
      </c>
      <c r="H588" s="17">
        <f t="shared" si="42"/>
        <v>1739.8500000000001</v>
      </c>
      <c r="I588" s="17">
        <f t="shared" si="43"/>
        <v>1826.8425000000002</v>
      </c>
      <c r="J588" s="112">
        <f t="shared" si="44"/>
        <v>1972.9899000000003</v>
      </c>
      <c r="K588" s="112">
        <v>1972.9899000000003</v>
      </c>
      <c r="L588" s="17">
        <f t="shared" si="41"/>
        <v>1175.9019804000002</v>
      </c>
      <c r="M588" t="s">
        <v>3246</v>
      </c>
    </row>
    <row r="589" spans="1:13" x14ac:dyDescent="0.25">
      <c r="B589" s="6" t="s">
        <v>1108</v>
      </c>
      <c r="C589" s="7" t="s">
        <v>1277</v>
      </c>
      <c r="D589" s="7" t="s">
        <v>1149</v>
      </c>
      <c r="E589" s="2" t="s">
        <v>1084</v>
      </c>
      <c r="F589" s="7" t="s">
        <v>1182</v>
      </c>
      <c r="G589" s="11">
        <v>1767</v>
      </c>
      <c r="H589" s="17">
        <f t="shared" si="42"/>
        <v>1855.3500000000001</v>
      </c>
      <c r="I589" s="17">
        <f t="shared" si="43"/>
        <v>1948.1175000000003</v>
      </c>
      <c r="J589" s="112">
        <f t="shared" si="44"/>
        <v>2103.9669000000004</v>
      </c>
      <c r="K589" s="112">
        <v>2103.9669000000004</v>
      </c>
      <c r="L589" s="17">
        <f t="shared" si="41"/>
        <v>1253.9642724000003</v>
      </c>
      <c r="M589" t="s">
        <v>3246</v>
      </c>
    </row>
    <row r="590" spans="1:13" x14ac:dyDescent="0.25">
      <c r="B590" s="6" t="s">
        <v>1109</v>
      </c>
      <c r="C590" s="7" t="s">
        <v>1278</v>
      </c>
      <c r="D590" s="7" t="s">
        <v>1149</v>
      </c>
      <c r="E590" s="2" t="s">
        <v>1085</v>
      </c>
      <c r="F590" s="7" t="s">
        <v>1183</v>
      </c>
      <c r="G590" s="11">
        <v>1691</v>
      </c>
      <c r="H590" s="17">
        <f t="shared" si="42"/>
        <v>1775.5500000000002</v>
      </c>
      <c r="I590" s="17">
        <f t="shared" si="43"/>
        <v>1864.3275000000003</v>
      </c>
      <c r="J590" s="112">
        <f t="shared" si="44"/>
        <v>2013.4737000000005</v>
      </c>
      <c r="K590" s="112">
        <v>2013.4737000000005</v>
      </c>
      <c r="L590" s="17">
        <f t="shared" si="41"/>
        <v>1200.0303252000003</v>
      </c>
      <c r="M590" t="s">
        <v>3246</v>
      </c>
    </row>
    <row r="591" spans="1:13" x14ac:dyDescent="0.25">
      <c r="B591" s="6" t="s">
        <v>1110</v>
      </c>
      <c r="C591" s="7" t="s">
        <v>1277</v>
      </c>
      <c r="D591" s="7" t="s">
        <v>1150</v>
      </c>
      <c r="E591" s="2" t="s">
        <v>1086</v>
      </c>
      <c r="F591" s="7" t="s">
        <v>1182</v>
      </c>
      <c r="G591" s="11">
        <v>1810</v>
      </c>
      <c r="H591" s="17">
        <f t="shared" si="42"/>
        <v>1900.5</v>
      </c>
      <c r="I591" s="17">
        <f t="shared" si="43"/>
        <v>1995.5250000000001</v>
      </c>
      <c r="J591" s="112">
        <f t="shared" si="44"/>
        <v>2155.1670000000004</v>
      </c>
      <c r="K591" s="112">
        <v>2155.1670000000004</v>
      </c>
      <c r="L591" s="17">
        <f t="shared" si="41"/>
        <v>1284.4795320000001</v>
      </c>
      <c r="M591" t="s">
        <v>3246</v>
      </c>
    </row>
    <row r="592" spans="1:13" x14ac:dyDescent="0.25">
      <c r="B592" s="6" t="s">
        <v>1111</v>
      </c>
      <c r="C592" s="7" t="s">
        <v>1278</v>
      </c>
      <c r="D592" s="7" t="s">
        <v>1150</v>
      </c>
      <c r="E592" s="2" t="s">
        <v>1087</v>
      </c>
      <c r="F592" s="7" t="s">
        <v>1183</v>
      </c>
      <c r="G592" s="11">
        <v>1732</v>
      </c>
      <c r="H592" s="17">
        <f t="shared" si="42"/>
        <v>1818.6000000000001</v>
      </c>
      <c r="I592" s="17">
        <f t="shared" si="43"/>
        <v>1909.5300000000002</v>
      </c>
      <c r="J592" s="112">
        <f t="shared" si="44"/>
        <v>2062.2924000000003</v>
      </c>
      <c r="K592" s="112">
        <v>2062.2924000000003</v>
      </c>
      <c r="L592" s="17">
        <f t="shared" si="41"/>
        <v>1229.1262704000001</v>
      </c>
      <c r="M592" t="s">
        <v>3246</v>
      </c>
    </row>
    <row r="593" spans="1:17" x14ac:dyDescent="0.25">
      <c r="B593" s="6" t="s">
        <v>1112</v>
      </c>
      <c r="C593" s="7" t="s">
        <v>1277</v>
      </c>
      <c r="D593" s="7" t="s">
        <v>1151</v>
      </c>
      <c r="E593" s="2" t="s">
        <v>1088</v>
      </c>
      <c r="F593" s="7" t="s">
        <v>1182</v>
      </c>
      <c r="G593" s="11">
        <v>1868</v>
      </c>
      <c r="H593" s="17">
        <f t="shared" si="42"/>
        <v>1961.4</v>
      </c>
      <c r="I593" s="17">
        <f t="shared" si="43"/>
        <v>2059.4700000000003</v>
      </c>
      <c r="J593" s="112">
        <f t="shared" si="44"/>
        <v>2224.2276000000006</v>
      </c>
      <c r="K593" s="112">
        <v>2224.2276000000006</v>
      </c>
      <c r="L593" s="17">
        <f t="shared" si="41"/>
        <v>1325.6396496000002</v>
      </c>
      <c r="M593" t="s">
        <v>3246</v>
      </c>
    </row>
    <row r="594" spans="1:17" x14ac:dyDescent="0.25">
      <c r="B594" s="6" t="s">
        <v>1113</v>
      </c>
      <c r="C594" s="7" t="s">
        <v>1278</v>
      </c>
      <c r="D594" s="7" t="s">
        <v>1151</v>
      </c>
      <c r="E594" s="2" t="s">
        <v>1089</v>
      </c>
      <c r="F594" s="7" t="s">
        <v>1183</v>
      </c>
      <c r="G594" s="11">
        <v>1793</v>
      </c>
      <c r="H594" s="17">
        <f t="shared" si="42"/>
        <v>1882.65</v>
      </c>
      <c r="I594" s="17">
        <f t="shared" si="43"/>
        <v>1976.7825000000003</v>
      </c>
      <c r="J594" s="112">
        <f t="shared" si="44"/>
        <v>2134.9251000000004</v>
      </c>
      <c r="K594" s="112">
        <v>2134.9251000000004</v>
      </c>
      <c r="L594" s="17">
        <f t="shared" si="41"/>
        <v>1272.4153596000001</v>
      </c>
      <c r="M594" t="s">
        <v>3246</v>
      </c>
    </row>
    <row r="595" spans="1:17" x14ac:dyDescent="0.25">
      <c r="B595" s="6" t="s">
        <v>1114</v>
      </c>
      <c r="C595" s="7" t="s">
        <v>1277</v>
      </c>
      <c r="D595" s="7" t="s">
        <v>1152</v>
      </c>
      <c r="E595" s="2" t="s">
        <v>1090</v>
      </c>
      <c r="F595" s="7" t="s">
        <v>1182</v>
      </c>
      <c r="G595" s="11">
        <v>1923</v>
      </c>
      <c r="H595" s="17">
        <f t="shared" si="42"/>
        <v>2019.15</v>
      </c>
      <c r="I595" s="17">
        <f t="shared" si="43"/>
        <v>2120.1075000000001</v>
      </c>
      <c r="J595" s="112">
        <f t="shared" si="44"/>
        <v>2289.7161000000001</v>
      </c>
      <c r="K595" s="112">
        <v>2289.7161000000001</v>
      </c>
      <c r="L595" s="17">
        <f t="shared" si="41"/>
        <v>1364.6707956</v>
      </c>
      <c r="M595" t="s">
        <v>3246</v>
      </c>
    </row>
    <row r="596" spans="1:17" x14ac:dyDescent="0.25">
      <c r="B596" s="6" t="s">
        <v>1115</v>
      </c>
      <c r="C596" s="7" t="s">
        <v>1278</v>
      </c>
      <c r="D596" s="7" t="s">
        <v>1152</v>
      </c>
      <c r="E596" s="2" t="s">
        <v>1091</v>
      </c>
      <c r="F596" s="7" t="s">
        <v>1183</v>
      </c>
      <c r="G596" s="11">
        <v>1846</v>
      </c>
      <c r="H596" s="17">
        <f t="shared" si="42"/>
        <v>1938.3000000000002</v>
      </c>
      <c r="I596" s="17">
        <f t="shared" si="43"/>
        <v>2035.2150000000004</v>
      </c>
      <c r="J596" s="112">
        <f t="shared" si="44"/>
        <v>2198.0322000000006</v>
      </c>
      <c r="K596" s="112">
        <v>2198.0322000000006</v>
      </c>
      <c r="L596" s="17">
        <f t="shared" si="41"/>
        <v>1310.0271912000003</v>
      </c>
      <c r="M596" t="s">
        <v>3246</v>
      </c>
    </row>
    <row r="597" spans="1:17" x14ac:dyDescent="0.25">
      <c r="B597" s="6" t="s">
        <v>1116</v>
      </c>
      <c r="C597" s="7" t="s">
        <v>1277</v>
      </c>
      <c r="D597" s="7" t="s">
        <v>1153</v>
      </c>
      <c r="E597" s="2" t="s">
        <v>1092</v>
      </c>
      <c r="F597" s="7" t="s">
        <v>1182</v>
      </c>
      <c r="G597" s="11">
        <v>2060</v>
      </c>
      <c r="H597" s="17">
        <f t="shared" si="42"/>
        <v>2163</v>
      </c>
      <c r="I597" s="17">
        <f t="shared" si="43"/>
        <v>2271.15</v>
      </c>
      <c r="J597" s="112">
        <f t="shared" si="44"/>
        <v>2452.8420000000001</v>
      </c>
      <c r="K597" s="112">
        <v>2452.8420000000001</v>
      </c>
      <c r="L597" s="17">
        <f t="shared" si="41"/>
        <v>1461.893832</v>
      </c>
      <c r="M597" t="s">
        <v>3246</v>
      </c>
    </row>
    <row r="598" spans="1:17" x14ac:dyDescent="0.25">
      <c r="B598" s="6" t="s">
        <v>1117</v>
      </c>
      <c r="C598" s="7" t="s">
        <v>1278</v>
      </c>
      <c r="D598" s="7" t="s">
        <v>1153</v>
      </c>
      <c r="E598" s="2" t="s">
        <v>1093</v>
      </c>
      <c r="F598" s="7" t="s">
        <v>1183</v>
      </c>
      <c r="G598" s="11">
        <v>1982</v>
      </c>
      <c r="H598" s="17">
        <f t="shared" si="42"/>
        <v>2081.1</v>
      </c>
      <c r="I598" s="17">
        <f t="shared" si="43"/>
        <v>2185.1550000000002</v>
      </c>
      <c r="J598" s="112">
        <f t="shared" si="44"/>
        <v>2359.9674000000005</v>
      </c>
      <c r="K598" s="112">
        <v>2359.9674000000005</v>
      </c>
      <c r="L598" s="17">
        <f t="shared" si="41"/>
        <v>1406.5405704000002</v>
      </c>
      <c r="M598" t="s">
        <v>3246</v>
      </c>
    </row>
    <row r="599" spans="1:17" s="62" customFormat="1" x14ac:dyDescent="0.25">
      <c r="A599" s="62" t="s">
        <v>2905</v>
      </c>
      <c r="B599" s="75" t="s">
        <v>2901</v>
      </c>
      <c r="C599" s="63"/>
      <c r="D599" s="63"/>
      <c r="E599" s="64"/>
      <c r="F599" s="63"/>
      <c r="G599" s="65"/>
      <c r="H599" s="17"/>
      <c r="I599" s="17">
        <f t="shared" si="43"/>
        <v>0</v>
      </c>
      <c r="J599" s="113"/>
      <c r="K599" s="70"/>
      <c r="L599" s="70"/>
    </row>
    <row r="600" spans="1:17" x14ac:dyDescent="0.25">
      <c r="A600" s="4"/>
      <c r="B600" s="6" t="s">
        <v>1118</v>
      </c>
      <c r="C600" s="7" t="s">
        <v>1180</v>
      </c>
      <c r="D600" s="7" t="s">
        <v>1142</v>
      </c>
      <c r="E600" s="2" t="s">
        <v>1156</v>
      </c>
      <c r="F600" s="7" t="s">
        <v>1184</v>
      </c>
      <c r="G600" s="24">
        <v>1592</v>
      </c>
      <c r="H600" s="17">
        <f t="shared" si="42"/>
        <v>1671.6000000000001</v>
      </c>
      <c r="I600" s="17">
        <f t="shared" si="43"/>
        <v>1755.1800000000003</v>
      </c>
      <c r="J600" s="112">
        <f t="shared" si="44"/>
        <v>1895.5944000000004</v>
      </c>
      <c r="K600" s="112">
        <v>1895.5944000000004</v>
      </c>
      <c r="L600" s="17">
        <f t="shared" si="41"/>
        <v>1129.7742624000002</v>
      </c>
      <c r="M600" t="s">
        <v>3246</v>
      </c>
    </row>
    <row r="601" spans="1:17" x14ac:dyDescent="0.25">
      <c r="A601" s="76" t="s">
        <v>2920</v>
      </c>
      <c r="B601" s="6" t="s">
        <v>1119</v>
      </c>
      <c r="C601" s="7" t="s">
        <v>1181</v>
      </c>
      <c r="D601" s="7" t="s">
        <v>1142</v>
      </c>
      <c r="E601" s="2" t="s">
        <v>1157</v>
      </c>
      <c r="F601" s="7" t="s">
        <v>1185</v>
      </c>
      <c r="G601" s="24">
        <v>1592</v>
      </c>
      <c r="H601" s="17">
        <f t="shared" si="42"/>
        <v>1671.6000000000001</v>
      </c>
      <c r="I601" s="17">
        <f t="shared" si="43"/>
        <v>1755.1800000000003</v>
      </c>
      <c r="J601" s="112">
        <f t="shared" si="44"/>
        <v>1895.5944000000004</v>
      </c>
      <c r="K601" s="112">
        <v>1895.5944000000004</v>
      </c>
      <c r="L601" s="17">
        <f t="shared" si="41"/>
        <v>1129.7742624000002</v>
      </c>
      <c r="M601" t="s">
        <v>3246</v>
      </c>
      <c r="O601" s="54"/>
      <c r="Q601" s="54"/>
    </row>
    <row r="602" spans="1:17" x14ac:dyDescent="0.25">
      <c r="B602" s="6" t="s">
        <v>1120</v>
      </c>
      <c r="C602" s="7" t="s">
        <v>1180</v>
      </c>
      <c r="D602" s="7" t="s">
        <v>1143</v>
      </c>
      <c r="E602" s="2" t="s">
        <v>1165</v>
      </c>
      <c r="F602" s="7" t="s">
        <v>1184</v>
      </c>
      <c r="G602" s="24">
        <v>1632</v>
      </c>
      <c r="H602" s="17">
        <f t="shared" si="42"/>
        <v>1713.6000000000001</v>
      </c>
      <c r="I602" s="17">
        <f t="shared" si="43"/>
        <v>1799.2800000000002</v>
      </c>
      <c r="J602" s="112">
        <f t="shared" si="44"/>
        <v>1943.2224000000003</v>
      </c>
      <c r="K602" s="112">
        <v>1943.2224000000003</v>
      </c>
      <c r="L602" s="17">
        <f t="shared" si="41"/>
        <v>1158.1605504000001</v>
      </c>
      <c r="M602" t="s">
        <v>3246</v>
      </c>
    </row>
    <row r="603" spans="1:17" x14ac:dyDescent="0.25">
      <c r="B603" s="6" t="s">
        <v>1121</v>
      </c>
      <c r="C603" s="7" t="s">
        <v>1181</v>
      </c>
      <c r="D603" s="7" t="s">
        <v>1143</v>
      </c>
      <c r="E603" s="2" t="s">
        <v>1166</v>
      </c>
      <c r="F603" s="7" t="s">
        <v>1186</v>
      </c>
      <c r="G603" s="24">
        <v>1632</v>
      </c>
      <c r="H603" s="17">
        <f t="shared" si="42"/>
        <v>1713.6000000000001</v>
      </c>
      <c r="I603" s="17">
        <f t="shared" si="43"/>
        <v>1799.2800000000002</v>
      </c>
      <c r="J603" s="112">
        <f t="shared" si="44"/>
        <v>1943.2224000000003</v>
      </c>
      <c r="K603" s="112">
        <v>1943.2224000000003</v>
      </c>
      <c r="L603" s="17">
        <f t="shared" si="41"/>
        <v>1158.1605504000001</v>
      </c>
      <c r="M603" t="s">
        <v>3246</v>
      </c>
    </row>
    <row r="604" spans="1:17" x14ac:dyDescent="0.25">
      <c r="B604" s="6" t="s">
        <v>1122</v>
      </c>
      <c r="C604" s="7" t="s">
        <v>1180</v>
      </c>
      <c r="D604" s="7" t="s">
        <v>1144</v>
      </c>
      <c r="E604" s="2" t="s">
        <v>1167</v>
      </c>
      <c r="F604" s="7" t="s">
        <v>1184</v>
      </c>
      <c r="G604" s="24">
        <v>1658</v>
      </c>
      <c r="H604" s="17">
        <f t="shared" si="42"/>
        <v>1740.9</v>
      </c>
      <c r="I604" s="17">
        <f t="shared" si="43"/>
        <v>1827.9450000000002</v>
      </c>
      <c r="J604" s="112">
        <f t="shared" si="44"/>
        <v>1974.1806000000004</v>
      </c>
      <c r="K604" s="112">
        <v>1974.1806000000004</v>
      </c>
      <c r="L604" s="17">
        <f t="shared" si="41"/>
        <v>1176.6116376000002</v>
      </c>
      <c r="M604" t="s">
        <v>3246</v>
      </c>
    </row>
    <row r="605" spans="1:17" x14ac:dyDescent="0.25">
      <c r="B605" s="6" t="s">
        <v>1123</v>
      </c>
      <c r="C605" s="7" t="s">
        <v>1181</v>
      </c>
      <c r="D605" s="7" t="s">
        <v>1144</v>
      </c>
      <c r="E605" s="2" t="s">
        <v>1168</v>
      </c>
      <c r="F605" s="7" t="s">
        <v>1186</v>
      </c>
      <c r="G605" s="24">
        <v>1658</v>
      </c>
      <c r="H605" s="17">
        <f t="shared" si="42"/>
        <v>1740.9</v>
      </c>
      <c r="I605" s="17">
        <f t="shared" si="43"/>
        <v>1827.9450000000002</v>
      </c>
      <c r="J605" s="112">
        <f t="shared" si="44"/>
        <v>1974.1806000000004</v>
      </c>
      <c r="K605" s="112">
        <v>1974.1806000000004</v>
      </c>
      <c r="L605" s="17">
        <f t="shared" si="41"/>
        <v>1176.6116376000002</v>
      </c>
      <c r="M605" t="s">
        <v>3246</v>
      </c>
    </row>
    <row r="606" spans="1:17" x14ac:dyDescent="0.25">
      <c r="B606" s="6" t="s">
        <v>1124</v>
      </c>
      <c r="C606" s="7" t="s">
        <v>1180</v>
      </c>
      <c r="D606" s="7" t="s">
        <v>1145</v>
      </c>
      <c r="E606" s="2" t="s">
        <v>1169</v>
      </c>
      <c r="F606" s="7" t="s">
        <v>1184</v>
      </c>
      <c r="G606" s="24">
        <v>1691</v>
      </c>
      <c r="H606" s="17">
        <f t="shared" si="42"/>
        <v>1775.5500000000002</v>
      </c>
      <c r="I606" s="17">
        <f t="shared" si="43"/>
        <v>1864.3275000000003</v>
      </c>
      <c r="J606" s="112">
        <f t="shared" si="44"/>
        <v>2013.4737000000005</v>
      </c>
      <c r="K606" s="112">
        <v>2013.4737000000005</v>
      </c>
      <c r="L606" s="17">
        <f t="shared" si="41"/>
        <v>1200.0303252000003</v>
      </c>
      <c r="M606" t="s">
        <v>3246</v>
      </c>
    </row>
    <row r="607" spans="1:17" x14ac:dyDescent="0.25">
      <c r="B607" s="6" t="s">
        <v>1125</v>
      </c>
      <c r="C607" s="7" t="s">
        <v>1181</v>
      </c>
      <c r="D607" s="7" t="s">
        <v>1145</v>
      </c>
      <c r="E607" s="2" t="s">
        <v>1170</v>
      </c>
      <c r="F607" s="7" t="s">
        <v>1186</v>
      </c>
      <c r="G607" s="24">
        <v>1691</v>
      </c>
      <c r="H607" s="17">
        <f t="shared" si="42"/>
        <v>1775.5500000000002</v>
      </c>
      <c r="I607" s="17">
        <f t="shared" si="43"/>
        <v>1864.3275000000003</v>
      </c>
      <c r="J607" s="112">
        <f t="shared" si="44"/>
        <v>2013.4737000000005</v>
      </c>
      <c r="K607" s="112">
        <v>2013.4737000000005</v>
      </c>
      <c r="L607" s="17">
        <f t="shared" si="41"/>
        <v>1200.0303252000003</v>
      </c>
      <c r="M607" t="s">
        <v>3246</v>
      </c>
    </row>
    <row r="608" spans="1:17" x14ac:dyDescent="0.25">
      <c r="B608" s="6" t="s">
        <v>1126</v>
      </c>
      <c r="C608" s="7" t="s">
        <v>1180</v>
      </c>
      <c r="D608" s="7" t="s">
        <v>1146</v>
      </c>
      <c r="E608" s="2" t="s">
        <v>1171</v>
      </c>
      <c r="F608" s="7" t="s">
        <v>1184</v>
      </c>
      <c r="G608" s="24">
        <v>1723</v>
      </c>
      <c r="H608" s="17">
        <f t="shared" si="42"/>
        <v>1809.15</v>
      </c>
      <c r="I608" s="17">
        <f t="shared" si="43"/>
        <v>1899.6075000000001</v>
      </c>
      <c r="J608" s="112">
        <f t="shared" si="44"/>
        <v>2051.5761000000002</v>
      </c>
      <c r="K608" s="112">
        <v>2051.5761000000002</v>
      </c>
      <c r="L608" s="17">
        <f t="shared" si="41"/>
        <v>1222.7393556000002</v>
      </c>
      <c r="M608" t="s">
        <v>3246</v>
      </c>
    </row>
    <row r="609" spans="1:13" x14ac:dyDescent="0.25">
      <c r="B609" s="6" t="s">
        <v>1127</v>
      </c>
      <c r="C609" s="7" t="s">
        <v>1181</v>
      </c>
      <c r="D609" s="7" t="s">
        <v>1146</v>
      </c>
      <c r="E609" s="2" t="s">
        <v>1172</v>
      </c>
      <c r="F609" s="7" t="s">
        <v>1186</v>
      </c>
      <c r="G609" s="24">
        <v>1723</v>
      </c>
      <c r="H609" s="17">
        <f t="shared" si="42"/>
        <v>1809.15</v>
      </c>
      <c r="I609" s="17">
        <f t="shared" si="43"/>
        <v>1899.6075000000001</v>
      </c>
      <c r="J609" s="112">
        <f t="shared" si="44"/>
        <v>2051.5761000000002</v>
      </c>
      <c r="K609" s="112">
        <v>2051.5761000000002</v>
      </c>
      <c r="L609" s="17">
        <f t="shared" si="41"/>
        <v>1222.7393556000002</v>
      </c>
      <c r="M609" t="s">
        <v>3246</v>
      </c>
    </row>
    <row r="610" spans="1:13" x14ac:dyDescent="0.25">
      <c r="B610" s="6" t="s">
        <v>1128</v>
      </c>
      <c r="C610" s="7" t="s">
        <v>1180</v>
      </c>
      <c r="D610" s="7" t="s">
        <v>1147</v>
      </c>
      <c r="E610" s="2" t="s">
        <v>1173</v>
      </c>
      <c r="F610" s="7" t="s">
        <v>1184</v>
      </c>
      <c r="G610" s="24">
        <v>1878</v>
      </c>
      <c r="H610" s="17">
        <f t="shared" si="42"/>
        <v>1971.9</v>
      </c>
      <c r="I610" s="17">
        <f t="shared" si="43"/>
        <v>2070.4950000000003</v>
      </c>
      <c r="J610" s="112">
        <f t="shared" si="44"/>
        <v>2236.1346000000003</v>
      </c>
      <c r="K610" s="112">
        <v>2236.1346000000003</v>
      </c>
      <c r="L610" s="17">
        <f t="shared" si="41"/>
        <v>1332.7362216000001</v>
      </c>
      <c r="M610" t="s">
        <v>3246</v>
      </c>
    </row>
    <row r="611" spans="1:13" x14ac:dyDescent="0.25">
      <c r="B611" s="6" t="s">
        <v>1129</v>
      </c>
      <c r="C611" s="7" t="s">
        <v>1181</v>
      </c>
      <c r="D611" s="7" t="s">
        <v>1147</v>
      </c>
      <c r="E611" s="2" t="s">
        <v>1174</v>
      </c>
      <c r="F611" s="7" t="s">
        <v>1186</v>
      </c>
      <c r="G611" s="24">
        <v>1878</v>
      </c>
      <c r="H611" s="17">
        <f t="shared" si="42"/>
        <v>1971.9</v>
      </c>
      <c r="I611" s="17">
        <f t="shared" si="43"/>
        <v>2070.4950000000003</v>
      </c>
      <c r="J611" s="112">
        <f t="shared" si="44"/>
        <v>2236.1346000000003</v>
      </c>
      <c r="K611" s="112">
        <v>2236.1346000000003</v>
      </c>
      <c r="L611" s="17">
        <f t="shared" si="41"/>
        <v>1332.7362216000001</v>
      </c>
      <c r="M611" t="s">
        <v>3246</v>
      </c>
    </row>
    <row r="612" spans="1:13" x14ac:dyDescent="0.25">
      <c r="B612" s="6" t="s">
        <v>1130</v>
      </c>
      <c r="C612" s="7" t="s">
        <v>1180</v>
      </c>
      <c r="D612" s="7" t="s">
        <v>1148</v>
      </c>
      <c r="E612" s="2" t="s">
        <v>1175</v>
      </c>
      <c r="F612" s="7" t="s">
        <v>1184</v>
      </c>
      <c r="G612" s="11">
        <v>1660</v>
      </c>
      <c r="H612" s="17">
        <f t="shared" si="42"/>
        <v>1743</v>
      </c>
      <c r="I612" s="17">
        <f t="shared" si="43"/>
        <v>1830.15</v>
      </c>
      <c r="J612" s="112">
        <f t="shared" si="44"/>
        <v>1976.5620000000001</v>
      </c>
      <c r="K612" s="112">
        <v>1976.5620000000001</v>
      </c>
      <c r="L612" s="17">
        <f t="shared" si="41"/>
        <v>1178.0309520000001</v>
      </c>
      <c r="M612" t="s">
        <v>3246</v>
      </c>
    </row>
    <row r="613" spans="1:13" x14ac:dyDescent="0.25">
      <c r="B613" s="6" t="s">
        <v>1131</v>
      </c>
      <c r="C613" s="7" t="s">
        <v>1181</v>
      </c>
      <c r="D613" s="7" t="s">
        <v>1148</v>
      </c>
      <c r="E613" s="2" t="s">
        <v>1176</v>
      </c>
      <c r="F613" s="7" t="s">
        <v>1186</v>
      </c>
      <c r="G613" s="11">
        <v>1660</v>
      </c>
      <c r="H613" s="17">
        <f t="shared" si="42"/>
        <v>1743</v>
      </c>
      <c r="I613" s="17">
        <f t="shared" si="43"/>
        <v>1830.15</v>
      </c>
      <c r="J613" s="112">
        <f t="shared" si="44"/>
        <v>1976.5620000000001</v>
      </c>
      <c r="K613" s="112">
        <v>1976.5620000000001</v>
      </c>
      <c r="L613" s="17">
        <f t="shared" si="41"/>
        <v>1178.0309520000001</v>
      </c>
      <c r="M613" t="s">
        <v>3246</v>
      </c>
    </row>
    <row r="614" spans="1:13" x14ac:dyDescent="0.25">
      <c r="B614" s="6" t="s">
        <v>1132</v>
      </c>
      <c r="C614" s="7" t="s">
        <v>1180</v>
      </c>
      <c r="D614" s="7" t="s">
        <v>1149</v>
      </c>
      <c r="E614" s="2" t="s">
        <v>1177</v>
      </c>
      <c r="F614" s="7" t="s">
        <v>1184</v>
      </c>
      <c r="G614" s="11">
        <v>1694</v>
      </c>
      <c r="H614" s="17">
        <f t="shared" si="42"/>
        <v>1778.7</v>
      </c>
      <c r="I614" s="17">
        <f t="shared" si="43"/>
        <v>1867.6350000000002</v>
      </c>
      <c r="J614" s="112">
        <f t="shared" si="44"/>
        <v>2017.0458000000003</v>
      </c>
      <c r="K614" s="112">
        <v>2017.0458000000003</v>
      </c>
      <c r="L614" s="17">
        <f t="shared" si="41"/>
        <v>1202.1592968000002</v>
      </c>
      <c r="M614" t="s">
        <v>3246</v>
      </c>
    </row>
    <row r="615" spans="1:13" x14ac:dyDescent="0.25">
      <c r="B615" s="6" t="s">
        <v>1133</v>
      </c>
      <c r="C615" s="7" t="s">
        <v>1181</v>
      </c>
      <c r="D615" s="7" t="s">
        <v>1149</v>
      </c>
      <c r="E615" s="2" t="s">
        <v>1178</v>
      </c>
      <c r="F615" s="7" t="s">
        <v>1186</v>
      </c>
      <c r="G615" s="11">
        <v>1694</v>
      </c>
      <c r="H615" s="17">
        <f t="shared" si="42"/>
        <v>1778.7</v>
      </c>
      <c r="I615" s="17">
        <f t="shared" si="43"/>
        <v>1867.6350000000002</v>
      </c>
      <c r="J615" s="112">
        <f t="shared" si="44"/>
        <v>2017.0458000000003</v>
      </c>
      <c r="K615" s="112">
        <v>2017.0458000000003</v>
      </c>
      <c r="L615" s="17">
        <f t="shared" si="41"/>
        <v>1202.1592968000002</v>
      </c>
      <c r="M615" t="s">
        <v>3246</v>
      </c>
    </row>
    <row r="616" spans="1:13" x14ac:dyDescent="0.25">
      <c r="B616" s="6" t="s">
        <v>1134</v>
      </c>
      <c r="C616" s="7" t="s">
        <v>1180</v>
      </c>
      <c r="D616" s="7" t="s">
        <v>1150</v>
      </c>
      <c r="E616" s="2" t="s">
        <v>1179</v>
      </c>
      <c r="F616" s="7" t="s">
        <v>1184</v>
      </c>
      <c r="G616" s="11">
        <v>1730</v>
      </c>
      <c r="H616" s="17">
        <f t="shared" si="42"/>
        <v>1816.5</v>
      </c>
      <c r="I616" s="17">
        <f t="shared" si="43"/>
        <v>1907.325</v>
      </c>
      <c r="J616" s="112">
        <f t="shared" si="44"/>
        <v>2059.9110000000001</v>
      </c>
      <c r="K616" s="112">
        <v>2059.9110000000001</v>
      </c>
      <c r="L616" s="17">
        <f t="shared" si="41"/>
        <v>1227.706956</v>
      </c>
      <c r="M616" t="s">
        <v>3246</v>
      </c>
    </row>
    <row r="617" spans="1:13" x14ac:dyDescent="0.25">
      <c r="B617" s="6" t="s">
        <v>1135</v>
      </c>
      <c r="C617" s="7" t="s">
        <v>1181</v>
      </c>
      <c r="D617" s="7" t="s">
        <v>1150</v>
      </c>
      <c r="E617" s="2" t="s">
        <v>1158</v>
      </c>
      <c r="F617" s="7" t="s">
        <v>1186</v>
      </c>
      <c r="G617" s="11">
        <v>1730</v>
      </c>
      <c r="H617" s="17">
        <f t="shared" si="42"/>
        <v>1816.5</v>
      </c>
      <c r="I617" s="17">
        <f t="shared" si="43"/>
        <v>1907.325</v>
      </c>
      <c r="J617" s="112">
        <f t="shared" si="44"/>
        <v>2059.9110000000001</v>
      </c>
      <c r="K617" s="112">
        <v>2059.9110000000001</v>
      </c>
      <c r="L617" s="17">
        <f t="shared" si="41"/>
        <v>1227.706956</v>
      </c>
      <c r="M617" t="s">
        <v>3246</v>
      </c>
    </row>
    <row r="618" spans="1:13" x14ac:dyDescent="0.25">
      <c r="B618" s="6" t="s">
        <v>1136</v>
      </c>
      <c r="C618" s="7" t="s">
        <v>1180</v>
      </c>
      <c r="D618" s="7" t="s">
        <v>1151</v>
      </c>
      <c r="E618" s="2" t="s">
        <v>1159</v>
      </c>
      <c r="F618" s="7" t="s">
        <v>1184</v>
      </c>
      <c r="G618" s="11">
        <v>1754</v>
      </c>
      <c r="H618" s="17">
        <f t="shared" si="42"/>
        <v>1841.7</v>
      </c>
      <c r="I618" s="17">
        <f t="shared" si="43"/>
        <v>1933.7850000000001</v>
      </c>
      <c r="J618" s="112">
        <f t="shared" si="44"/>
        <v>2088.4878000000003</v>
      </c>
      <c r="K618" s="112">
        <v>2088.4878000000003</v>
      </c>
      <c r="L618" s="17">
        <f t="shared" si="41"/>
        <v>1244.7387288000002</v>
      </c>
      <c r="M618" t="s">
        <v>3246</v>
      </c>
    </row>
    <row r="619" spans="1:13" x14ac:dyDescent="0.25">
      <c r="B619" s="6" t="s">
        <v>1137</v>
      </c>
      <c r="C619" s="7" t="s">
        <v>1181</v>
      </c>
      <c r="D619" s="7" t="s">
        <v>1151</v>
      </c>
      <c r="E619" s="2" t="s">
        <v>1160</v>
      </c>
      <c r="F619" s="7" t="s">
        <v>1186</v>
      </c>
      <c r="G619" s="11">
        <v>1754</v>
      </c>
      <c r="H619" s="17">
        <f t="shared" si="42"/>
        <v>1841.7</v>
      </c>
      <c r="I619" s="17">
        <f t="shared" si="43"/>
        <v>1933.7850000000001</v>
      </c>
      <c r="J619" s="112">
        <f t="shared" si="44"/>
        <v>2088.4878000000003</v>
      </c>
      <c r="K619" s="112">
        <v>2088.4878000000003</v>
      </c>
      <c r="L619" s="17">
        <f t="shared" si="41"/>
        <v>1244.7387288000002</v>
      </c>
      <c r="M619" t="s">
        <v>3246</v>
      </c>
    </row>
    <row r="620" spans="1:13" x14ac:dyDescent="0.25">
      <c r="B620" s="6" t="s">
        <v>1138</v>
      </c>
      <c r="C620" s="7" t="s">
        <v>1180</v>
      </c>
      <c r="D620" s="7" t="s">
        <v>1152</v>
      </c>
      <c r="E620" s="2" t="s">
        <v>1162</v>
      </c>
      <c r="F620" s="7" t="s">
        <v>1184</v>
      </c>
      <c r="G620" s="11">
        <v>1780</v>
      </c>
      <c r="H620" s="17">
        <f t="shared" si="42"/>
        <v>1869</v>
      </c>
      <c r="I620" s="17">
        <f t="shared" si="43"/>
        <v>1962.45</v>
      </c>
      <c r="J620" s="112">
        <f t="shared" si="44"/>
        <v>2119.4460000000004</v>
      </c>
      <c r="K620" s="112">
        <v>2119.4460000000004</v>
      </c>
      <c r="L620" s="17">
        <f t="shared" si="41"/>
        <v>1263.1898160000001</v>
      </c>
      <c r="M620" t="s">
        <v>3246</v>
      </c>
    </row>
    <row r="621" spans="1:13" x14ac:dyDescent="0.25">
      <c r="B621" s="6" t="s">
        <v>1139</v>
      </c>
      <c r="C621" s="7" t="s">
        <v>1181</v>
      </c>
      <c r="D621" s="7" t="s">
        <v>1152</v>
      </c>
      <c r="E621" s="2" t="s">
        <v>1161</v>
      </c>
      <c r="F621" s="7" t="s">
        <v>1186</v>
      </c>
      <c r="G621" s="11">
        <v>1780</v>
      </c>
      <c r="H621" s="17">
        <f t="shared" si="42"/>
        <v>1869</v>
      </c>
      <c r="I621" s="17">
        <f t="shared" si="43"/>
        <v>1962.45</v>
      </c>
      <c r="J621" s="112">
        <f t="shared" si="44"/>
        <v>2119.4460000000004</v>
      </c>
      <c r="K621" s="112">
        <v>2119.4460000000004</v>
      </c>
      <c r="L621" s="17">
        <f t="shared" si="41"/>
        <v>1263.1898160000001</v>
      </c>
      <c r="M621" t="s">
        <v>3246</v>
      </c>
    </row>
    <row r="622" spans="1:13" x14ac:dyDescent="0.25">
      <c r="B622" s="6" t="s">
        <v>1140</v>
      </c>
      <c r="C622" s="7" t="s">
        <v>1180</v>
      </c>
      <c r="D622" s="7" t="s">
        <v>1153</v>
      </c>
      <c r="E622" s="2" t="s">
        <v>1163</v>
      </c>
      <c r="F622" s="7" t="s">
        <v>1184</v>
      </c>
      <c r="G622" s="11">
        <v>1929</v>
      </c>
      <c r="H622" s="17">
        <f t="shared" si="42"/>
        <v>2025.45</v>
      </c>
      <c r="I622" s="17">
        <f t="shared" si="43"/>
        <v>2126.7225000000003</v>
      </c>
      <c r="J622" s="112">
        <f t="shared" si="44"/>
        <v>2296.8603000000003</v>
      </c>
      <c r="K622" s="112">
        <v>2296.8603000000003</v>
      </c>
      <c r="L622" s="17">
        <f t="shared" si="41"/>
        <v>1368.9287388</v>
      </c>
      <c r="M622" t="s">
        <v>3246</v>
      </c>
    </row>
    <row r="623" spans="1:13" x14ac:dyDescent="0.25">
      <c r="B623" s="6" t="s">
        <v>1141</v>
      </c>
      <c r="C623" s="7" t="s">
        <v>1181</v>
      </c>
      <c r="D623" s="7" t="s">
        <v>1153</v>
      </c>
      <c r="E623" s="2" t="s">
        <v>1164</v>
      </c>
      <c r="F623" s="7" t="s">
        <v>1186</v>
      </c>
      <c r="G623" s="11">
        <v>1929</v>
      </c>
      <c r="H623" s="17">
        <f t="shared" si="42"/>
        <v>2025.45</v>
      </c>
      <c r="I623" s="17">
        <f t="shared" si="43"/>
        <v>2126.7225000000003</v>
      </c>
      <c r="J623" s="112">
        <f t="shared" si="44"/>
        <v>2296.8603000000003</v>
      </c>
      <c r="K623" s="112">
        <v>2296.8603000000003</v>
      </c>
      <c r="L623" s="17">
        <f t="shared" si="41"/>
        <v>1368.9287388</v>
      </c>
      <c r="M623" t="s">
        <v>3246</v>
      </c>
    </row>
    <row r="624" spans="1:13" s="62" customFormat="1" x14ac:dyDescent="0.25">
      <c r="A624" s="62" t="s">
        <v>2921</v>
      </c>
      <c r="B624" s="75" t="s">
        <v>2900</v>
      </c>
      <c r="C624" s="63"/>
      <c r="D624" s="63"/>
      <c r="E624" s="64"/>
      <c r="F624" s="63"/>
      <c r="G624" s="65"/>
      <c r="H624" s="17"/>
      <c r="I624" s="17">
        <f t="shared" si="43"/>
        <v>0</v>
      </c>
      <c r="J624" s="113"/>
      <c r="K624" s="70"/>
      <c r="L624" s="70"/>
    </row>
    <row r="625" spans="1:13" x14ac:dyDescent="0.25">
      <c r="A625" s="4"/>
      <c r="B625" s="6" t="s">
        <v>1195</v>
      </c>
      <c r="C625" s="7" t="s">
        <v>1203</v>
      </c>
      <c r="D625" s="7" t="s">
        <v>7</v>
      </c>
      <c r="E625" s="2" t="s">
        <v>1187</v>
      </c>
      <c r="F625" s="7" t="s">
        <v>1182</v>
      </c>
      <c r="G625" s="11">
        <v>1982</v>
      </c>
      <c r="H625" s="17">
        <f t="shared" si="42"/>
        <v>2081.1</v>
      </c>
      <c r="I625" s="17">
        <f t="shared" si="43"/>
        <v>2185.1550000000002</v>
      </c>
      <c r="J625" s="112">
        <f t="shared" si="44"/>
        <v>2359.9674000000005</v>
      </c>
      <c r="K625" s="112">
        <v>2359.9674000000005</v>
      </c>
      <c r="L625" s="17">
        <f t="shared" si="41"/>
        <v>1406.5405704000002</v>
      </c>
      <c r="M625" t="s">
        <v>3246</v>
      </c>
    </row>
    <row r="626" spans="1:13" x14ac:dyDescent="0.25">
      <c r="A626" s="76" t="s">
        <v>2923</v>
      </c>
      <c r="B626" s="6" t="s">
        <v>1196</v>
      </c>
      <c r="C626" s="7" t="s">
        <v>1204</v>
      </c>
      <c r="D626" s="7" t="s">
        <v>7</v>
      </c>
      <c r="E626" s="2" t="s">
        <v>1188</v>
      </c>
      <c r="F626" s="7" t="s">
        <v>1183</v>
      </c>
      <c r="G626" s="11">
        <v>1905</v>
      </c>
      <c r="H626" s="17">
        <f t="shared" si="42"/>
        <v>2000.25</v>
      </c>
      <c r="I626" s="17">
        <f t="shared" si="43"/>
        <v>2100.2625000000003</v>
      </c>
      <c r="J626" s="112">
        <f t="shared" si="44"/>
        <v>2268.2835000000005</v>
      </c>
      <c r="K626" s="112">
        <v>2268.2835000000005</v>
      </c>
      <c r="L626" s="17">
        <f t="shared" si="41"/>
        <v>1351.8969660000002</v>
      </c>
      <c r="M626" t="s">
        <v>3246</v>
      </c>
    </row>
    <row r="627" spans="1:13" x14ac:dyDescent="0.25">
      <c r="B627" s="6" t="s">
        <v>1197</v>
      </c>
      <c r="C627" s="7" t="s">
        <v>1203</v>
      </c>
      <c r="D627" s="7" t="s">
        <v>8</v>
      </c>
      <c r="E627" s="2" t="s">
        <v>1189</v>
      </c>
      <c r="F627" s="7" t="s">
        <v>1182</v>
      </c>
      <c r="G627" s="11">
        <v>2159</v>
      </c>
      <c r="H627" s="17">
        <f t="shared" si="42"/>
        <v>2266.9500000000003</v>
      </c>
      <c r="I627" s="17">
        <f t="shared" si="43"/>
        <v>2380.2975000000006</v>
      </c>
      <c r="J627" s="112">
        <f t="shared" si="44"/>
        <v>2570.7213000000006</v>
      </c>
      <c r="K627" s="112">
        <v>2570.7213000000006</v>
      </c>
      <c r="L627" s="17">
        <f t="shared" si="41"/>
        <v>1532.1498948000003</v>
      </c>
      <c r="M627" t="s">
        <v>3246</v>
      </c>
    </row>
    <row r="628" spans="1:13" x14ac:dyDescent="0.25">
      <c r="B628" s="6" t="s">
        <v>1198</v>
      </c>
      <c r="C628" s="7" t="s">
        <v>1204</v>
      </c>
      <c r="D628" s="7" t="s">
        <v>8</v>
      </c>
      <c r="E628" s="2" t="s">
        <v>1190</v>
      </c>
      <c r="F628" s="7" t="s">
        <v>1183</v>
      </c>
      <c r="G628" s="11">
        <v>2068</v>
      </c>
      <c r="H628" s="17">
        <f t="shared" si="42"/>
        <v>2171.4</v>
      </c>
      <c r="I628" s="17">
        <f t="shared" si="43"/>
        <v>2279.9700000000003</v>
      </c>
      <c r="J628" s="112">
        <f t="shared" si="44"/>
        <v>2462.3676000000005</v>
      </c>
      <c r="K628" s="112">
        <v>2462.3676000000005</v>
      </c>
      <c r="L628" s="17">
        <f t="shared" si="41"/>
        <v>1467.5710896000003</v>
      </c>
      <c r="M628" t="s">
        <v>3246</v>
      </c>
    </row>
    <row r="629" spans="1:13" x14ac:dyDescent="0.25">
      <c r="B629" s="6" t="s">
        <v>1199</v>
      </c>
      <c r="C629" s="7" t="s">
        <v>1203</v>
      </c>
      <c r="D629" s="7" t="s">
        <v>9</v>
      </c>
      <c r="E629" s="2" t="s">
        <v>1191</v>
      </c>
      <c r="F629" s="7" t="s">
        <v>1182</v>
      </c>
      <c r="G629" s="11">
        <v>2216</v>
      </c>
      <c r="H629" s="17">
        <f t="shared" si="42"/>
        <v>2326.8000000000002</v>
      </c>
      <c r="I629" s="17">
        <f t="shared" si="43"/>
        <v>2443.1400000000003</v>
      </c>
      <c r="J629" s="112">
        <f t="shared" si="44"/>
        <v>2638.5912000000008</v>
      </c>
      <c r="K629" s="112">
        <v>2638.5912000000008</v>
      </c>
      <c r="L629" s="17">
        <f t="shared" si="41"/>
        <v>1572.6003552000004</v>
      </c>
      <c r="M629" t="s">
        <v>3246</v>
      </c>
    </row>
    <row r="630" spans="1:13" x14ac:dyDescent="0.25">
      <c r="B630" s="6" t="s">
        <v>1200</v>
      </c>
      <c r="C630" s="7" t="s">
        <v>1204</v>
      </c>
      <c r="D630" s="7" t="s">
        <v>9</v>
      </c>
      <c r="E630" s="2" t="s">
        <v>1192</v>
      </c>
      <c r="F630" s="7" t="s">
        <v>1183</v>
      </c>
      <c r="G630" s="11">
        <v>2138</v>
      </c>
      <c r="H630" s="17">
        <f t="shared" si="42"/>
        <v>2244.9</v>
      </c>
      <c r="I630" s="17">
        <f t="shared" si="43"/>
        <v>2357.145</v>
      </c>
      <c r="J630" s="112">
        <f t="shared" si="44"/>
        <v>2545.7166000000002</v>
      </c>
      <c r="K630" s="112">
        <v>2545.7166000000002</v>
      </c>
      <c r="L630" s="17">
        <f t="shared" si="41"/>
        <v>1517.2470936</v>
      </c>
      <c r="M630" t="s">
        <v>3246</v>
      </c>
    </row>
    <row r="631" spans="1:13" x14ac:dyDescent="0.25">
      <c r="B631" s="6" t="s">
        <v>1201</v>
      </c>
      <c r="C631" s="7" t="s">
        <v>1203</v>
      </c>
      <c r="D631" s="7" t="s">
        <v>11</v>
      </c>
      <c r="E631" s="2" t="s">
        <v>1193</v>
      </c>
      <c r="F631" s="7" t="s">
        <v>1182</v>
      </c>
      <c r="G631" s="11">
        <v>2317</v>
      </c>
      <c r="H631" s="17">
        <f t="shared" si="42"/>
        <v>2432.85</v>
      </c>
      <c r="I631" s="17">
        <f t="shared" si="43"/>
        <v>2554.4924999999998</v>
      </c>
      <c r="J631" s="112">
        <f t="shared" si="44"/>
        <v>2758.8519000000001</v>
      </c>
      <c r="K631" s="112">
        <v>2758.8519000000001</v>
      </c>
      <c r="L631" s="17">
        <f t="shared" si="41"/>
        <v>1644.2757323999999</v>
      </c>
      <c r="M631" t="s">
        <v>3246</v>
      </c>
    </row>
    <row r="632" spans="1:13" x14ac:dyDescent="0.25">
      <c r="B632" s="6" t="s">
        <v>1202</v>
      </c>
      <c r="C632" s="7" t="s">
        <v>1204</v>
      </c>
      <c r="D632" s="7" t="s">
        <v>11</v>
      </c>
      <c r="E632" s="2" t="s">
        <v>1194</v>
      </c>
      <c r="F632" s="7" t="s">
        <v>1183</v>
      </c>
      <c r="G632" s="11">
        <v>2234</v>
      </c>
      <c r="H632" s="17">
        <f t="shared" si="42"/>
        <v>2345.7000000000003</v>
      </c>
      <c r="I632" s="17">
        <f t="shared" si="43"/>
        <v>2462.9850000000006</v>
      </c>
      <c r="J632" s="112">
        <f t="shared" si="44"/>
        <v>2660.0238000000008</v>
      </c>
      <c r="K632" s="112">
        <v>2660.0238000000008</v>
      </c>
      <c r="L632" s="17">
        <f t="shared" si="41"/>
        <v>1585.3741848000004</v>
      </c>
      <c r="M632" t="s">
        <v>3246</v>
      </c>
    </row>
    <row r="633" spans="1:13" x14ac:dyDescent="0.25">
      <c r="B633" s="25" t="s">
        <v>1213</v>
      </c>
      <c r="C633" s="7" t="s">
        <v>1203</v>
      </c>
      <c r="D633" s="7" t="s">
        <v>14</v>
      </c>
      <c r="E633" s="2" t="s">
        <v>1205</v>
      </c>
      <c r="F633" s="7" t="s">
        <v>1182</v>
      </c>
      <c r="G633" s="11">
        <v>2023</v>
      </c>
      <c r="H633" s="17">
        <f t="shared" si="42"/>
        <v>2124.15</v>
      </c>
      <c r="I633" s="17">
        <f t="shared" si="43"/>
        <v>2230.3575000000001</v>
      </c>
      <c r="J633" s="112">
        <f t="shared" si="44"/>
        <v>2408.7861000000003</v>
      </c>
      <c r="K633" s="112">
        <v>2408.7861000000003</v>
      </c>
      <c r="L633" s="17">
        <f t="shared" si="41"/>
        <v>1435.6365156000002</v>
      </c>
      <c r="M633" t="s">
        <v>3246</v>
      </c>
    </row>
    <row r="634" spans="1:13" x14ac:dyDescent="0.25">
      <c r="B634" s="25" t="s">
        <v>1214</v>
      </c>
      <c r="C634" s="7" t="s">
        <v>1204</v>
      </c>
      <c r="D634" s="7" t="s">
        <v>14</v>
      </c>
      <c r="E634" s="2" t="s">
        <v>1206</v>
      </c>
      <c r="F634" s="7" t="s">
        <v>1183</v>
      </c>
      <c r="G634" s="11">
        <v>1946</v>
      </c>
      <c r="H634" s="17">
        <f t="shared" si="42"/>
        <v>2043.3000000000002</v>
      </c>
      <c r="I634" s="17">
        <f t="shared" si="43"/>
        <v>2145.4650000000001</v>
      </c>
      <c r="J634" s="112">
        <f t="shared" si="44"/>
        <v>2317.1022000000003</v>
      </c>
      <c r="K634" s="112">
        <v>2317.1022000000003</v>
      </c>
      <c r="L634" s="17">
        <f t="shared" si="41"/>
        <v>1380.9929112000002</v>
      </c>
      <c r="M634" t="s">
        <v>3246</v>
      </c>
    </row>
    <row r="635" spans="1:13" x14ac:dyDescent="0.25">
      <c r="B635" s="25" t="s">
        <v>1215</v>
      </c>
      <c r="C635" s="7" t="s">
        <v>1203</v>
      </c>
      <c r="D635" s="7" t="s">
        <v>15</v>
      </c>
      <c r="E635" s="2" t="s">
        <v>1207</v>
      </c>
      <c r="F635" s="7" t="s">
        <v>1182</v>
      </c>
      <c r="G635" s="11">
        <v>2249</v>
      </c>
      <c r="H635" s="17">
        <f t="shared" si="42"/>
        <v>2361.4500000000003</v>
      </c>
      <c r="I635" s="17">
        <f t="shared" si="43"/>
        <v>2479.5225000000005</v>
      </c>
      <c r="J635" s="112">
        <f t="shared" si="44"/>
        <v>2677.8843000000006</v>
      </c>
      <c r="K635" s="112">
        <v>2677.8843000000006</v>
      </c>
      <c r="L635" s="17">
        <f t="shared" si="41"/>
        <v>1596.0190428000003</v>
      </c>
      <c r="M635" t="s">
        <v>3246</v>
      </c>
    </row>
    <row r="636" spans="1:13" x14ac:dyDescent="0.25">
      <c r="B636" s="25" t="s">
        <v>1216</v>
      </c>
      <c r="C636" s="7" t="s">
        <v>1204</v>
      </c>
      <c r="D636" s="7" t="s">
        <v>15</v>
      </c>
      <c r="E636" s="2" t="s">
        <v>1208</v>
      </c>
      <c r="F636" s="7" t="s">
        <v>1183</v>
      </c>
      <c r="G636" s="11">
        <v>2165</v>
      </c>
      <c r="H636" s="17">
        <f t="shared" si="42"/>
        <v>2273.25</v>
      </c>
      <c r="I636" s="17">
        <f t="shared" si="43"/>
        <v>2386.9124999999999</v>
      </c>
      <c r="J636" s="112">
        <f t="shared" si="44"/>
        <v>2577.8654999999999</v>
      </c>
      <c r="K636" s="112">
        <v>2577.8654999999999</v>
      </c>
      <c r="L636" s="17">
        <f t="shared" si="41"/>
        <v>1536.4078379999999</v>
      </c>
      <c r="M636" t="s">
        <v>3246</v>
      </c>
    </row>
    <row r="637" spans="1:13" x14ac:dyDescent="0.25">
      <c r="B637" s="25" t="s">
        <v>1217</v>
      </c>
      <c r="C637" s="7" t="s">
        <v>1203</v>
      </c>
      <c r="D637" s="7" t="s">
        <v>16</v>
      </c>
      <c r="E637" s="2" t="s">
        <v>1209</v>
      </c>
      <c r="F637" s="7" t="s">
        <v>1182</v>
      </c>
      <c r="G637" s="11">
        <v>2299</v>
      </c>
      <c r="H637" s="17">
        <f t="shared" si="42"/>
        <v>2413.9500000000003</v>
      </c>
      <c r="I637" s="17">
        <f t="shared" si="43"/>
        <v>2534.6475000000005</v>
      </c>
      <c r="J637" s="112">
        <f t="shared" si="44"/>
        <v>2737.4193000000009</v>
      </c>
      <c r="K637" s="112">
        <v>2737.4193000000009</v>
      </c>
      <c r="L637" s="17">
        <f t="shared" si="41"/>
        <v>1631.5019028000004</v>
      </c>
      <c r="M637" t="s">
        <v>3246</v>
      </c>
    </row>
    <row r="638" spans="1:13" x14ac:dyDescent="0.25">
      <c r="B638" s="25" t="s">
        <v>1218</v>
      </c>
      <c r="C638" s="7" t="s">
        <v>1204</v>
      </c>
      <c r="D638" s="7" t="s">
        <v>16</v>
      </c>
      <c r="E638" s="2" t="s">
        <v>1210</v>
      </c>
      <c r="F638" s="7" t="s">
        <v>1183</v>
      </c>
      <c r="G638" s="11">
        <v>2221</v>
      </c>
      <c r="H638" s="17">
        <f t="shared" si="42"/>
        <v>2332.0500000000002</v>
      </c>
      <c r="I638" s="17">
        <f t="shared" si="43"/>
        <v>2448.6525000000001</v>
      </c>
      <c r="J638" s="112">
        <f t="shared" si="44"/>
        <v>2644.5447000000004</v>
      </c>
      <c r="K638" s="112">
        <v>2644.5447000000004</v>
      </c>
      <c r="L638" s="17">
        <f t="shared" si="41"/>
        <v>1576.1486412000002</v>
      </c>
      <c r="M638" t="s">
        <v>3246</v>
      </c>
    </row>
    <row r="639" spans="1:13" x14ac:dyDescent="0.25">
      <c r="B639" s="25" t="s">
        <v>1219</v>
      </c>
      <c r="C639" s="7" t="s">
        <v>1203</v>
      </c>
      <c r="D639" s="7" t="s">
        <v>18</v>
      </c>
      <c r="E639" s="2" t="s">
        <v>1211</v>
      </c>
      <c r="F639" s="7" t="s">
        <v>1182</v>
      </c>
      <c r="G639" s="11">
        <v>2404</v>
      </c>
      <c r="H639" s="17">
        <f t="shared" si="42"/>
        <v>2524.2000000000003</v>
      </c>
      <c r="I639" s="17">
        <f t="shared" si="43"/>
        <v>2650.4100000000003</v>
      </c>
      <c r="J639" s="112">
        <f t="shared" si="44"/>
        <v>2862.4428000000007</v>
      </c>
      <c r="K639" s="112">
        <v>2862.4428000000007</v>
      </c>
      <c r="L639" s="17">
        <f t="shared" si="41"/>
        <v>1706.0159088000003</v>
      </c>
      <c r="M639" t="s">
        <v>3246</v>
      </c>
    </row>
    <row r="640" spans="1:13" x14ac:dyDescent="0.25">
      <c r="B640" s="25" t="s">
        <v>1220</v>
      </c>
      <c r="C640" s="7" t="s">
        <v>1204</v>
      </c>
      <c r="D640" s="7" t="s">
        <v>18</v>
      </c>
      <c r="E640" s="2" t="s">
        <v>1212</v>
      </c>
      <c r="F640" s="7" t="s">
        <v>1183</v>
      </c>
      <c r="G640" s="11">
        <v>2322</v>
      </c>
      <c r="H640" s="17">
        <f t="shared" si="42"/>
        <v>2438.1</v>
      </c>
      <c r="I640" s="17">
        <f t="shared" si="43"/>
        <v>2560.0050000000001</v>
      </c>
      <c r="J640" s="112">
        <f t="shared" si="44"/>
        <v>2764.8054000000002</v>
      </c>
      <c r="K640" s="112">
        <v>2764.8054000000002</v>
      </c>
      <c r="L640" s="17">
        <f t="shared" si="41"/>
        <v>1647.8240184000001</v>
      </c>
      <c r="M640" t="s">
        <v>3246</v>
      </c>
    </row>
    <row r="641" spans="1:17" s="62" customFormat="1" x14ac:dyDescent="0.25">
      <c r="A641" s="62" t="s">
        <v>2921</v>
      </c>
      <c r="B641" s="77" t="s">
        <v>2901</v>
      </c>
      <c r="C641" s="63"/>
      <c r="D641" s="63"/>
      <c r="E641" s="64"/>
      <c r="F641" s="63"/>
      <c r="G641" s="65"/>
      <c r="H641" s="17"/>
      <c r="I641" s="17">
        <f t="shared" si="43"/>
        <v>0</v>
      </c>
      <c r="J641" s="113"/>
      <c r="K641" s="70"/>
      <c r="L641" s="70"/>
    </row>
    <row r="642" spans="1:17" x14ac:dyDescent="0.25">
      <c r="A642" s="4"/>
      <c r="B642" s="6" t="s">
        <v>1237</v>
      </c>
      <c r="C642" s="7" t="s">
        <v>1402</v>
      </c>
      <c r="D642" s="7" t="s">
        <v>7</v>
      </c>
      <c r="E642" s="2" t="s">
        <v>1221</v>
      </c>
      <c r="F642" s="7" t="s">
        <v>1404</v>
      </c>
      <c r="G642" s="11">
        <v>1692</v>
      </c>
      <c r="H642" s="17">
        <f t="shared" ref="H642:H705" si="45">G642*1.05</f>
        <v>1776.6000000000001</v>
      </c>
      <c r="I642" s="17">
        <f t="shared" ref="I642:I705" si="46">H642*1.05</f>
        <v>1865.4300000000003</v>
      </c>
      <c r="J642" s="112">
        <f t="shared" ref="J642:J705" si="47">I642*1.08</f>
        <v>2014.6644000000003</v>
      </c>
      <c r="K642" s="112">
        <v>2014.6644000000003</v>
      </c>
      <c r="L642" s="17">
        <f t="shared" ref="L642:L703" si="48">K642*0.596</f>
        <v>1200.7399824000001</v>
      </c>
      <c r="M642" t="s">
        <v>3246</v>
      </c>
    </row>
    <row r="643" spans="1:17" x14ac:dyDescent="0.25">
      <c r="A643" s="76" t="s">
        <v>2925</v>
      </c>
      <c r="B643" s="6" t="s">
        <v>1238</v>
      </c>
      <c r="C643" s="7" t="s">
        <v>1403</v>
      </c>
      <c r="D643" s="7" t="s">
        <v>7</v>
      </c>
      <c r="E643" s="2" t="s">
        <v>1225</v>
      </c>
      <c r="F643" s="7" t="s">
        <v>1405</v>
      </c>
      <c r="G643" s="11">
        <v>1692</v>
      </c>
      <c r="H643" s="17">
        <f t="shared" si="45"/>
        <v>1776.6000000000001</v>
      </c>
      <c r="I643" s="17">
        <f t="shared" si="46"/>
        <v>1865.4300000000003</v>
      </c>
      <c r="J643" s="112">
        <f t="shared" si="47"/>
        <v>2014.6644000000003</v>
      </c>
      <c r="K643" s="112">
        <v>2014.6644000000003</v>
      </c>
      <c r="L643" s="17">
        <f t="shared" si="48"/>
        <v>1200.7399824000001</v>
      </c>
      <c r="M643" t="s">
        <v>3246</v>
      </c>
      <c r="O643" s="54"/>
      <c r="Q643" s="54"/>
    </row>
    <row r="644" spans="1:17" x14ac:dyDescent="0.25">
      <c r="B644" s="6" t="s">
        <v>1239</v>
      </c>
      <c r="C644" s="7" t="s">
        <v>1402</v>
      </c>
      <c r="D644" s="7" t="s">
        <v>8</v>
      </c>
      <c r="E644" s="2" t="s">
        <v>1222</v>
      </c>
      <c r="F644" s="7" t="s">
        <v>1404</v>
      </c>
      <c r="G644" s="11">
        <v>1719</v>
      </c>
      <c r="H644" s="17">
        <f t="shared" si="45"/>
        <v>1804.95</v>
      </c>
      <c r="I644" s="17">
        <f t="shared" si="46"/>
        <v>1895.1975000000002</v>
      </c>
      <c r="J644" s="112">
        <f t="shared" si="47"/>
        <v>2046.8133000000005</v>
      </c>
      <c r="K644" s="112">
        <v>2046.8133000000005</v>
      </c>
      <c r="L644" s="17">
        <f t="shared" si="48"/>
        <v>1219.9007268000003</v>
      </c>
      <c r="M644" t="s">
        <v>3246</v>
      </c>
    </row>
    <row r="645" spans="1:17" x14ac:dyDescent="0.25">
      <c r="B645" s="6" t="s">
        <v>1240</v>
      </c>
      <c r="C645" s="7" t="s">
        <v>1403</v>
      </c>
      <c r="D645" s="7" t="s">
        <v>8</v>
      </c>
      <c r="E645" s="2" t="s">
        <v>1226</v>
      </c>
      <c r="F645" s="7" t="s">
        <v>1406</v>
      </c>
      <c r="G645" s="11">
        <v>1719</v>
      </c>
      <c r="H645" s="17">
        <f t="shared" si="45"/>
        <v>1804.95</v>
      </c>
      <c r="I645" s="17">
        <f t="shared" si="46"/>
        <v>1895.1975000000002</v>
      </c>
      <c r="J645" s="112">
        <f t="shared" si="47"/>
        <v>2046.8133000000005</v>
      </c>
      <c r="K645" s="112">
        <v>2046.8133000000005</v>
      </c>
      <c r="L645" s="17">
        <f t="shared" si="48"/>
        <v>1219.9007268000003</v>
      </c>
      <c r="M645" t="s">
        <v>3246</v>
      </c>
    </row>
    <row r="646" spans="1:17" x14ac:dyDescent="0.25">
      <c r="B646" s="6" t="s">
        <v>1241</v>
      </c>
      <c r="C646" s="7" t="s">
        <v>1402</v>
      </c>
      <c r="D646" s="7" t="s">
        <v>9</v>
      </c>
      <c r="E646" s="2" t="s">
        <v>1223</v>
      </c>
      <c r="F646" s="7" t="s">
        <v>1404</v>
      </c>
      <c r="G646" s="11">
        <v>1740</v>
      </c>
      <c r="H646" s="17">
        <f t="shared" si="45"/>
        <v>1827</v>
      </c>
      <c r="I646" s="17">
        <f t="shared" si="46"/>
        <v>1918.3500000000001</v>
      </c>
      <c r="J646" s="112">
        <f t="shared" si="47"/>
        <v>2071.8180000000002</v>
      </c>
      <c r="K646" s="112">
        <v>2071.8180000000002</v>
      </c>
      <c r="L646" s="17">
        <f t="shared" si="48"/>
        <v>1234.8035280000001</v>
      </c>
      <c r="M646" t="s">
        <v>3246</v>
      </c>
    </row>
    <row r="647" spans="1:17" x14ac:dyDescent="0.25">
      <c r="B647" s="6" t="s">
        <v>1242</v>
      </c>
      <c r="C647" s="7" t="s">
        <v>1403</v>
      </c>
      <c r="D647" s="7" t="s">
        <v>9</v>
      </c>
      <c r="E647" s="2" t="s">
        <v>1227</v>
      </c>
      <c r="F647" s="7" t="s">
        <v>1406</v>
      </c>
      <c r="G647" s="11">
        <v>1740</v>
      </c>
      <c r="H647" s="17">
        <f t="shared" si="45"/>
        <v>1827</v>
      </c>
      <c r="I647" s="17">
        <f t="shared" si="46"/>
        <v>1918.3500000000001</v>
      </c>
      <c r="J647" s="112">
        <f t="shared" si="47"/>
        <v>2071.8180000000002</v>
      </c>
      <c r="K647" s="112">
        <v>2071.8180000000002</v>
      </c>
      <c r="L647" s="17">
        <f t="shared" si="48"/>
        <v>1234.8035280000001</v>
      </c>
      <c r="M647" t="s">
        <v>3246</v>
      </c>
    </row>
    <row r="648" spans="1:17" x14ac:dyDescent="0.25">
      <c r="B648" s="6" t="s">
        <v>1243</v>
      </c>
      <c r="C648" s="7" t="s">
        <v>1402</v>
      </c>
      <c r="D648" s="7" t="s">
        <v>11</v>
      </c>
      <c r="E648" s="2" t="s">
        <v>1224</v>
      </c>
      <c r="F648" s="7" t="s">
        <v>1404</v>
      </c>
      <c r="G648" s="11">
        <v>1900</v>
      </c>
      <c r="H648" s="17">
        <f t="shared" si="45"/>
        <v>1995</v>
      </c>
      <c r="I648" s="17">
        <f t="shared" si="46"/>
        <v>2094.75</v>
      </c>
      <c r="J648" s="112">
        <f t="shared" si="47"/>
        <v>2262.33</v>
      </c>
      <c r="K648" s="112">
        <v>2262.33</v>
      </c>
      <c r="L648" s="17">
        <f t="shared" si="48"/>
        <v>1348.3486799999998</v>
      </c>
      <c r="M648" t="s">
        <v>3246</v>
      </c>
    </row>
    <row r="649" spans="1:17" x14ac:dyDescent="0.25">
      <c r="B649" s="6" t="s">
        <v>1244</v>
      </c>
      <c r="C649" s="7" t="s">
        <v>1403</v>
      </c>
      <c r="D649" s="7" t="s">
        <v>11</v>
      </c>
      <c r="E649" s="2" t="s">
        <v>1228</v>
      </c>
      <c r="F649" s="7" t="s">
        <v>1406</v>
      </c>
      <c r="G649" s="11">
        <v>1900</v>
      </c>
      <c r="H649" s="17">
        <f t="shared" si="45"/>
        <v>1995</v>
      </c>
      <c r="I649" s="17">
        <f t="shared" si="46"/>
        <v>2094.75</v>
      </c>
      <c r="J649" s="112">
        <f t="shared" si="47"/>
        <v>2262.33</v>
      </c>
      <c r="K649" s="112">
        <v>2262.33</v>
      </c>
      <c r="L649" s="17">
        <f t="shared" si="48"/>
        <v>1348.3486799999998</v>
      </c>
      <c r="M649" t="s">
        <v>3246</v>
      </c>
    </row>
    <row r="650" spans="1:17" x14ac:dyDescent="0.25">
      <c r="B650" s="6" t="s">
        <v>1245</v>
      </c>
      <c r="C650" s="7" t="s">
        <v>1402</v>
      </c>
      <c r="D650" s="7" t="s">
        <v>14</v>
      </c>
      <c r="E650" s="2" t="s">
        <v>1229</v>
      </c>
      <c r="F650" s="7" t="s">
        <v>1404</v>
      </c>
      <c r="G650" s="11">
        <v>1697</v>
      </c>
      <c r="H650" s="17">
        <f t="shared" si="45"/>
        <v>1781.8500000000001</v>
      </c>
      <c r="I650" s="17">
        <f t="shared" si="46"/>
        <v>1870.9425000000001</v>
      </c>
      <c r="J650" s="112">
        <f t="shared" si="47"/>
        <v>2020.6179000000002</v>
      </c>
      <c r="K650" s="112">
        <v>2020.6179000000002</v>
      </c>
      <c r="L650" s="17">
        <f t="shared" si="48"/>
        <v>1204.2882684000001</v>
      </c>
      <c r="M650" t="s">
        <v>3246</v>
      </c>
    </row>
    <row r="651" spans="1:17" x14ac:dyDescent="0.25">
      <c r="B651" s="6" t="s">
        <v>1246</v>
      </c>
      <c r="C651" s="7" t="s">
        <v>1403</v>
      </c>
      <c r="D651" s="7" t="s">
        <v>14</v>
      </c>
      <c r="E651" s="2" t="s">
        <v>1230</v>
      </c>
      <c r="F651" s="7" t="s">
        <v>1406</v>
      </c>
      <c r="G651" s="11">
        <v>1697</v>
      </c>
      <c r="H651" s="17">
        <f t="shared" si="45"/>
        <v>1781.8500000000001</v>
      </c>
      <c r="I651" s="17">
        <f t="shared" si="46"/>
        <v>1870.9425000000001</v>
      </c>
      <c r="J651" s="112">
        <f t="shared" si="47"/>
        <v>2020.6179000000002</v>
      </c>
      <c r="K651" s="112">
        <v>2020.6179000000002</v>
      </c>
      <c r="L651" s="17">
        <f t="shared" si="48"/>
        <v>1204.2882684000001</v>
      </c>
      <c r="M651" t="s">
        <v>3246</v>
      </c>
    </row>
    <row r="652" spans="1:17" x14ac:dyDescent="0.25">
      <c r="B652" s="6" t="s">
        <v>1247</v>
      </c>
      <c r="C652" s="7" t="s">
        <v>1402</v>
      </c>
      <c r="D652" s="7" t="s">
        <v>15</v>
      </c>
      <c r="E652" s="2" t="s">
        <v>1231</v>
      </c>
      <c r="F652" s="7" t="s">
        <v>1404</v>
      </c>
      <c r="G652" s="11">
        <v>1737</v>
      </c>
      <c r="H652" s="17">
        <f t="shared" si="45"/>
        <v>1823.8500000000001</v>
      </c>
      <c r="I652" s="17">
        <f t="shared" si="46"/>
        <v>1915.0425000000002</v>
      </c>
      <c r="J652" s="112">
        <f t="shared" si="47"/>
        <v>2068.2459000000003</v>
      </c>
      <c r="K652" s="112">
        <v>2068.2459000000003</v>
      </c>
      <c r="L652" s="17">
        <f t="shared" si="48"/>
        <v>1232.6745564000003</v>
      </c>
      <c r="M652" t="s">
        <v>3246</v>
      </c>
    </row>
    <row r="653" spans="1:17" x14ac:dyDescent="0.25">
      <c r="B653" s="6" t="s">
        <v>1248</v>
      </c>
      <c r="C653" s="7" t="s">
        <v>1403</v>
      </c>
      <c r="D653" s="7" t="s">
        <v>15</v>
      </c>
      <c r="E653" s="2" t="s">
        <v>1232</v>
      </c>
      <c r="F653" s="7" t="s">
        <v>1406</v>
      </c>
      <c r="G653" s="11">
        <v>1737</v>
      </c>
      <c r="H653" s="17">
        <f t="shared" si="45"/>
        <v>1823.8500000000001</v>
      </c>
      <c r="I653" s="17">
        <f t="shared" si="46"/>
        <v>1915.0425000000002</v>
      </c>
      <c r="J653" s="112">
        <f t="shared" si="47"/>
        <v>2068.2459000000003</v>
      </c>
      <c r="K653" s="112">
        <v>2068.2459000000003</v>
      </c>
      <c r="L653" s="17">
        <f t="shared" si="48"/>
        <v>1232.6745564000003</v>
      </c>
      <c r="M653" t="s">
        <v>3246</v>
      </c>
    </row>
    <row r="654" spans="1:17" x14ac:dyDescent="0.25">
      <c r="B654" s="6" t="s">
        <v>1249</v>
      </c>
      <c r="C654" s="7" t="s">
        <v>1402</v>
      </c>
      <c r="D654" s="7" t="s">
        <v>16</v>
      </c>
      <c r="E654" s="2" t="s">
        <v>1233</v>
      </c>
      <c r="F654" s="7" t="s">
        <v>1404</v>
      </c>
      <c r="G654" s="11">
        <v>1807</v>
      </c>
      <c r="H654" s="17">
        <f t="shared" si="45"/>
        <v>1897.3500000000001</v>
      </c>
      <c r="I654" s="17">
        <f t="shared" si="46"/>
        <v>1992.2175000000002</v>
      </c>
      <c r="J654" s="112">
        <f t="shared" si="47"/>
        <v>2151.5949000000005</v>
      </c>
      <c r="K654" s="112">
        <v>2151.5949000000005</v>
      </c>
      <c r="L654" s="17">
        <f t="shared" si="48"/>
        <v>1282.3505604000002</v>
      </c>
      <c r="M654" t="s">
        <v>3246</v>
      </c>
    </row>
    <row r="655" spans="1:17" x14ac:dyDescent="0.25">
      <c r="B655" s="6" t="s">
        <v>1250</v>
      </c>
      <c r="C655" s="7" t="s">
        <v>1403</v>
      </c>
      <c r="D655" s="7" t="s">
        <v>16</v>
      </c>
      <c r="E655" s="2" t="s">
        <v>1234</v>
      </c>
      <c r="F655" s="7" t="s">
        <v>1406</v>
      </c>
      <c r="G655" s="11">
        <v>1807</v>
      </c>
      <c r="H655" s="17">
        <f t="shared" si="45"/>
        <v>1897.3500000000001</v>
      </c>
      <c r="I655" s="17">
        <f t="shared" si="46"/>
        <v>1992.2175000000002</v>
      </c>
      <c r="J655" s="112">
        <f t="shared" si="47"/>
        <v>2151.5949000000005</v>
      </c>
      <c r="K655" s="112">
        <v>2151.5949000000005</v>
      </c>
      <c r="L655" s="17">
        <f t="shared" si="48"/>
        <v>1282.3505604000002</v>
      </c>
      <c r="M655" t="s">
        <v>3246</v>
      </c>
    </row>
    <row r="656" spans="1:17" x14ac:dyDescent="0.25">
      <c r="B656" s="6" t="s">
        <v>1251</v>
      </c>
      <c r="C656" s="7" t="s">
        <v>1402</v>
      </c>
      <c r="D656" s="7" t="s">
        <v>18</v>
      </c>
      <c r="E656" s="2" t="s">
        <v>1235</v>
      </c>
      <c r="F656" s="7" t="s">
        <v>1404</v>
      </c>
      <c r="G656" s="11">
        <v>1942</v>
      </c>
      <c r="H656" s="17">
        <f t="shared" si="45"/>
        <v>2039.1000000000001</v>
      </c>
      <c r="I656" s="17">
        <f t="shared" si="46"/>
        <v>2141.0550000000003</v>
      </c>
      <c r="J656" s="112">
        <f t="shared" si="47"/>
        <v>2312.3394000000003</v>
      </c>
      <c r="K656" s="112">
        <v>2312.3394000000003</v>
      </c>
      <c r="L656" s="17">
        <f t="shared" si="48"/>
        <v>1378.1542824000001</v>
      </c>
      <c r="M656" t="s">
        <v>3246</v>
      </c>
    </row>
    <row r="657" spans="1:13" x14ac:dyDescent="0.25">
      <c r="B657" s="6" t="s">
        <v>1252</v>
      </c>
      <c r="C657" s="7" t="s">
        <v>1403</v>
      </c>
      <c r="D657" s="7" t="s">
        <v>18</v>
      </c>
      <c r="E657" s="2" t="s">
        <v>1236</v>
      </c>
      <c r="F657" s="7" t="s">
        <v>1406</v>
      </c>
      <c r="G657" s="11">
        <v>1942</v>
      </c>
      <c r="H657" s="17">
        <f t="shared" si="45"/>
        <v>2039.1000000000001</v>
      </c>
      <c r="I657" s="17">
        <f t="shared" si="46"/>
        <v>2141.0550000000003</v>
      </c>
      <c r="J657" s="112">
        <f t="shared" si="47"/>
        <v>2312.3394000000003</v>
      </c>
      <c r="K657" s="112">
        <v>2312.3394000000003</v>
      </c>
      <c r="L657" s="17">
        <f t="shared" si="48"/>
        <v>1378.1542824000001</v>
      </c>
      <c r="M657" t="s">
        <v>3246</v>
      </c>
    </row>
    <row r="658" spans="1:13" s="62" customFormat="1" x14ac:dyDescent="0.25">
      <c r="A658" s="62" t="s">
        <v>2922</v>
      </c>
      <c r="B658" s="75" t="s">
        <v>2900</v>
      </c>
      <c r="C658" s="63"/>
      <c r="D658" s="63"/>
      <c r="E658" s="64"/>
      <c r="F658" s="63"/>
      <c r="G658" s="65"/>
      <c r="H658" s="17"/>
      <c r="I658" s="17">
        <f t="shared" si="46"/>
        <v>0</v>
      </c>
      <c r="J658" s="113"/>
      <c r="K658" s="70"/>
      <c r="L658" s="70"/>
    </row>
    <row r="659" spans="1:13" x14ac:dyDescent="0.25">
      <c r="A659" s="4"/>
      <c r="B659" s="6" t="s">
        <v>1265</v>
      </c>
      <c r="C659" s="7" t="s">
        <v>1305</v>
      </c>
      <c r="D659" s="1" t="s">
        <v>5</v>
      </c>
      <c r="E659" s="10" t="s">
        <v>1253</v>
      </c>
      <c r="F659" s="7" t="s">
        <v>1182</v>
      </c>
      <c r="G659" s="11">
        <v>1720</v>
      </c>
      <c r="H659" s="17">
        <f t="shared" si="45"/>
        <v>1806</v>
      </c>
      <c r="I659" s="17">
        <f t="shared" si="46"/>
        <v>1896.3000000000002</v>
      </c>
      <c r="J659" s="112">
        <f t="shared" si="47"/>
        <v>2048.0040000000004</v>
      </c>
      <c r="K659" s="112">
        <v>2048.0040000000004</v>
      </c>
      <c r="L659" s="17">
        <f t="shared" si="48"/>
        <v>1220.6103840000001</v>
      </c>
      <c r="M659" t="s">
        <v>3246</v>
      </c>
    </row>
    <row r="660" spans="1:13" x14ac:dyDescent="0.25">
      <c r="A660" s="76" t="s">
        <v>2924</v>
      </c>
      <c r="B660" s="6" t="s">
        <v>1266</v>
      </c>
      <c r="C660" s="7" t="s">
        <v>1306</v>
      </c>
      <c r="D660" s="1" t="s">
        <v>5</v>
      </c>
      <c r="E660" s="10" t="s">
        <v>1254</v>
      </c>
      <c r="F660" s="7" t="s">
        <v>1183</v>
      </c>
      <c r="G660" s="11">
        <v>1648</v>
      </c>
      <c r="H660" s="17">
        <f t="shared" si="45"/>
        <v>1730.4</v>
      </c>
      <c r="I660" s="17">
        <f t="shared" si="46"/>
        <v>1816.92</v>
      </c>
      <c r="J660" s="112">
        <f t="shared" si="47"/>
        <v>1962.2736000000002</v>
      </c>
      <c r="K660" s="112">
        <v>1962.2736000000002</v>
      </c>
      <c r="L660" s="17">
        <f t="shared" si="48"/>
        <v>1169.5150656000001</v>
      </c>
      <c r="M660" t="s">
        <v>3246</v>
      </c>
    </row>
    <row r="661" spans="1:13" x14ac:dyDescent="0.25">
      <c r="B661" s="6" t="s">
        <v>1267</v>
      </c>
      <c r="C661" s="7" t="s">
        <v>1305</v>
      </c>
      <c r="D661" s="1" t="s">
        <v>6</v>
      </c>
      <c r="E661" s="10" t="s">
        <v>1255</v>
      </c>
      <c r="F661" s="7" t="s">
        <v>1182</v>
      </c>
      <c r="G661" s="11">
        <v>1756</v>
      </c>
      <c r="H661" s="17">
        <f t="shared" si="45"/>
        <v>1843.8000000000002</v>
      </c>
      <c r="I661" s="17">
        <f t="shared" si="46"/>
        <v>1935.9900000000002</v>
      </c>
      <c r="J661" s="112">
        <f t="shared" si="47"/>
        <v>2090.8692000000005</v>
      </c>
      <c r="K661" s="112">
        <v>2090.8692000000005</v>
      </c>
      <c r="L661" s="17">
        <f t="shared" si="48"/>
        <v>1246.1580432000003</v>
      </c>
      <c r="M661" t="s">
        <v>3246</v>
      </c>
    </row>
    <row r="662" spans="1:13" x14ac:dyDescent="0.25">
      <c r="B662" s="6" t="s">
        <v>1268</v>
      </c>
      <c r="C662" s="7" t="s">
        <v>1306</v>
      </c>
      <c r="D662" s="1" t="s">
        <v>6</v>
      </c>
      <c r="E662" s="10" t="s">
        <v>1256</v>
      </c>
      <c r="F662" s="7" t="s">
        <v>1183</v>
      </c>
      <c r="G662" s="11">
        <v>1680</v>
      </c>
      <c r="H662" s="17">
        <f t="shared" si="45"/>
        <v>1764</v>
      </c>
      <c r="I662" s="17">
        <f t="shared" si="46"/>
        <v>1852.2</v>
      </c>
      <c r="J662" s="112">
        <f t="shared" si="47"/>
        <v>2000.3760000000002</v>
      </c>
      <c r="K662" s="112">
        <v>2000.3760000000002</v>
      </c>
      <c r="L662" s="17">
        <f t="shared" si="48"/>
        <v>1192.2240960000001</v>
      </c>
      <c r="M662" t="s">
        <v>3246</v>
      </c>
    </row>
    <row r="663" spans="1:13" x14ac:dyDescent="0.25">
      <c r="B663" s="6" t="s">
        <v>1269</v>
      </c>
      <c r="C663" s="7" t="s">
        <v>1305</v>
      </c>
      <c r="D663" s="1" t="s">
        <v>7</v>
      </c>
      <c r="E663" s="10" t="s">
        <v>1257</v>
      </c>
      <c r="F663" s="7" t="s">
        <v>1182</v>
      </c>
      <c r="G663" s="11">
        <v>1799</v>
      </c>
      <c r="H663" s="17">
        <f t="shared" si="45"/>
        <v>1888.95</v>
      </c>
      <c r="I663" s="17">
        <f t="shared" si="46"/>
        <v>1983.3975</v>
      </c>
      <c r="J663" s="112">
        <f t="shared" si="47"/>
        <v>2142.0693000000001</v>
      </c>
      <c r="K663" s="112">
        <v>2142.0693000000001</v>
      </c>
      <c r="L663" s="17">
        <f t="shared" si="48"/>
        <v>1276.6733028000001</v>
      </c>
      <c r="M663" t="s">
        <v>3246</v>
      </c>
    </row>
    <row r="664" spans="1:13" x14ac:dyDescent="0.25">
      <c r="B664" s="6" t="s">
        <v>1270</v>
      </c>
      <c r="C664" s="7" t="s">
        <v>1306</v>
      </c>
      <c r="D664" s="1" t="s">
        <v>7</v>
      </c>
      <c r="E664" s="10" t="s">
        <v>1258</v>
      </c>
      <c r="F664" s="7" t="s">
        <v>1183</v>
      </c>
      <c r="G664" s="11">
        <v>1721</v>
      </c>
      <c r="H664" s="17">
        <f t="shared" si="45"/>
        <v>1807.0500000000002</v>
      </c>
      <c r="I664" s="17">
        <f t="shared" si="46"/>
        <v>1897.4025000000004</v>
      </c>
      <c r="J664" s="112">
        <f t="shared" si="47"/>
        <v>2049.1947000000005</v>
      </c>
      <c r="K664" s="112">
        <v>2049.1947000000005</v>
      </c>
      <c r="L664" s="17">
        <f t="shared" si="48"/>
        <v>1221.3200412000003</v>
      </c>
      <c r="M664" t="s">
        <v>3246</v>
      </c>
    </row>
    <row r="665" spans="1:13" x14ac:dyDescent="0.25">
      <c r="B665" s="6" t="s">
        <v>1271</v>
      </c>
      <c r="C665" s="7" t="s">
        <v>1305</v>
      </c>
      <c r="D665" s="1" t="s">
        <v>8</v>
      </c>
      <c r="E665" s="10" t="s">
        <v>1259</v>
      </c>
      <c r="F665" s="7" t="s">
        <v>1182</v>
      </c>
      <c r="G665" s="11">
        <v>1817</v>
      </c>
      <c r="H665" s="17">
        <f t="shared" si="45"/>
        <v>1907.8500000000001</v>
      </c>
      <c r="I665" s="17">
        <f t="shared" si="46"/>
        <v>2003.2425000000003</v>
      </c>
      <c r="J665" s="112">
        <f t="shared" si="47"/>
        <v>2163.5019000000007</v>
      </c>
      <c r="K665" s="112">
        <v>2163.5019000000007</v>
      </c>
      <c r="L665" s="17">
        <f t="shared" si="48"/>
        <v>1289.4471324000003</v>
      </c>
      <c r="M665" t="s">
        <v>3246</v>
      </c>
    </row>
    <row r="666" spans="1:13" x14ac:dyDescent="0.25">
      <c r="B666" s="6" t="s">
        <v>1272</v>
      </c>
      <c r="C666" s="7" t="s">
        <v>1306</v>
      </c>
      <c r="D666" s="1" t="s">
        <v>8</v>
      </c>
      <c r="E666" s="10" t="s">
        <v>1260</v>
      </c>
      <c r="F666" s="7" t="s">
        <v>1183</v>
      </c>
      <c r="G666" s="11">
        <v>1880</v>
      </c>
      <c r="H666" s="17">
        <f t="shared" si="45"/>
        <v>1974</v>
      </c>
      <c r="I666" s="17">
        <f t="shared" si="46"/>
        <v>2072.7000000000003</v>
      </c>
      <c r="J666" s="112">
        <f t="shared" si="47"/>
        <v>2238.5160000000005</v>
      </c>
      <c r="K666" s="112">
        <v>2238.5160000000005</v>
      </c>
      <c r="L666" s="17">
        <f t="shared" si="48"/>
        <v>1334.1555360000002</v>
      </c>
      <c r="M666" t="s">
        <v>3246</v>
      </c>
    </row>
    <row r="667" spans="1:13" x14ac:dyDescent="0.25">
      <c r="B667" s="6" t="s">
        <v>1273</v>
      </c>
      <c r="C667" s="7" t="s">
        <v>1305</v>
      </c>
      <c r="D667" s="1" t="s">
        <v>9</v>
      </c>
      <c r="E667" s="10" t="s">
        <v>1261</v>
      </c>
      <c r="F667" s="7" t="s">
        <v>1182</v>
      </c>
      <c r="G667" s="11">
        <v>1833</v>
      </c>
      <c r="H667" s="17">
        <f t="shared" si="45"/>
        <v>1924.65</v>
      </c>
      <c r="I667" s="17">
        <f t="shared" si="46"/>
        <v>2020.8825000000002</v>
      </c>
      <c r="J667" s="112">
        <f t="shared" si="47"/>
        <v>2182.5531000000005</v>
      </c>
      <c r="K667" s="112">
        <v>2182.5531000000005</v>
      </c>
      <c r="L667" s="17">
        <f t="shared" si="48"/>
        <v>1300.8016476000003</v>
      </c>
      <c r="M667" t="s">
        <v>3246</v>
      </c>
    </row>
    <row r="668" spans="1:13" x14ac:dyDescent="0.25">
      <c r="B668" s="6" t="s">
        <v>1274</v>
      </c>
      <c r="C668" s="7" t="s">
        <v>1306</v>
      </c>
      <c r="D668" s="1" t="s">
        <v>9</v>
      </c>
      <c r="E668" s="10" t="s">
        <v>1262</v>
      </c>
      <c r="F668" s="7" t="s">
        <v>1183</v>
      </c>
      <c r="G668" s="11">
        <v>1907</v>
      </c>
      <c r="H668" s="17">
        <f t="shared" si="45"/>
        <v>2002.3500000000001</v>
      </c>
      <c r="I668" s="17">
        <f t="shared" si="46"/>
        <v>2102.4675000000002</v>
      </c>
      <c r="J668" s="112">
        <f t="shared" si="47"/>
        <v>2270.6649000000002</v>
      </c>
      <c r="K668" s="112">
        <v>2270.6649000000002</v>
      </c>
      <c r="L668" s="17">
        <f t="shared" si="48"/>
        <v>1353.3162804000001</v>
      </c>
      <c r="M668" t="s">
        <v>3246</v>
      </c>
    </row>
    <row r="669" spans="1:13" x14ac:dyDescent="0.25">
      <c r="B669" s="6" t="s">
        <v>1275</v>
      </c>
      <c r="C669" s="7" t="s">
        <v>1305</v>
      </c>
      <c r="D669" s="1" t="s">
        <v>11</v>
      </c>
      <c r="E669" s="10" t="s">
        <v>1263</v>
      </c>
      <c r="F669" s="7" t="s">
        <v>1182</v>
      </c>
      <c r="G669" s="11">
        <v>1980</v>
      </c>
      <c r="H669" s="17">
        <f t="shared" si="45"/>
        <v>2079</v>
      </c>
      <c r="I669" s="17">
        <f t="shared" si="46"/>
        <v>2182.9500000000003</v>
      </c>
      <c r="J669" s="112">
        <f t="shared" si="47"/>
        <v>2357.5860000000002</v>
      </c>
      <c r="K669" s="112">
        <v>2357.5860000000002</v>
      </c>
      <c r="L669" s="17">
        <f t="shared" si="48"/>
        <v>1405.1212560000001</v>
      </c>
      <c r="M669" t="s">
        <v>3246</v>
      </c>
    </row>
    <row r="670" spans="1:13" x14ac:dyDescent="0.25">
      <c r="B670" s="6" t="s">
        <v>1276</v>
      </c>
      <c r="C670" s="7" t="s">
        <v>1306</v>
      </c>
      <c r="D670" s="1" t="s">
        <v>11</v>
      </c>
      <c r="E670" s="10" t="s">
        <v>1264</v>
      </c>
      <c r="F670" s="7" t="s">
        <v>1183</v>
      </c>
      <c r="G670" s="11">
        <v>1893</v>
      </c>
      <c r="H670" s="17">
        <f t="shared" si="45"/>
        <v>1987.65</v>
      </c>
      <c r="I670" s="17">
        <f t="shared" si="46"/>
        <v>2087.0325000000003</v>
      </c>
      <c r="J670" s="112">
        <f t="shared" si="47"/>
        <v>2253.9951000000005</v>
      </c>
      <c r="K670" s="112">
        <v>2253.9951000000005</v>
      </c>
      <c r="L670" s="17">
        <f t="shared" si="48"/>
        <v>1343.3810796000002</v>
      </c>
      <c r="M670" t="s">
        <v>3246</v>
      </c>
    </row>
    <row r="671" spans="1:13" x14ac:dyDescent="0.25">
      <c r="B671" s="6" t="s">
        <v>1279</v>
      </c>
      <c r="C671" s="7" t="s">
        <v>1305</v>
      </c>
      <c r="D671" s="1" t="s">
        <v>13</v>
      </c>
      <c r="E671" s="10" t="s">
        <v>1291</v>
      </c>
      <c r="F671" s="7" t="s">
        <v>1182</v>
      </c>
      <c r="G671" s="11">
        <v>1777</v>
      </c>
      <c r="H671" s="17">
        <f t="shared" si="45"/>
        <v>1865.8500000000001</v>
      </c>
      <c r="I671" s="17">
        <f t="shared" si="46"/>
        <v>1959.1425000000002</v>
      </c>
      <c r="J671" s="112">
        <f t="shared" si="47"/>
        <v>2115.8739000000005</v>
      </c>
      <c r="K671" s="112">
        <v>2115.8739000000005</v>
      </c>
      <c r="L671" s="17">
        <f t="shared" si="48"/>
        <v>1261.0608444000002</v>
      </c>
      <c r="M671" t="s">
        <v>3246</v>
      </c>
    </row>
    <row r="672" spans="1:13" x14ac:dyDescent="0.25">
      <c r="B672" s="6" t="s">
        <v>1280</v>
      </c>
      <c r="C672" s="7" t="s">
        <v>1306</v>
      </c>
      <c r="D672" s="1" t="s">
        <v>13</v>
      </c>
      <c r="E672" s="10" t="s">
        <v>1292</v>
      </c>
      <c r="F672" s="7" t="s">
        <v>1183</v>
      </c>
      <c r="G672" s="11">
        <v>1139</v>
      </c>
      <c r="H672" s="17">
        <f t="shared" si="45"/>
        <v>1195.95</v>
      </c>
      <c r="I672" s="17">
        <f t="shared" si="46"/>
        <v>1255.7475000000002</v>
      </c>
      <c r="J672" s="112">
        <f t="shared" si="47"/>
        <v>1356.2073000000003</v>
      </c>
      <c r="K672" s="112">
        <v>1356.2073000000003</v>
      </c>
      <c r="L672" s="17">
        <f t="shared" si="48"/>
        <v>808.29955080000013</v>
      </c>
      <c r="M672" t="s">
        <v>3246</v>
      </c>
    </row>
    <row r="673" spans="1:17" x14ac:dyDescent="0.25">
      <c r="B673" s="6" t="s">
        <v>1281</v>
      </c>
      <c r="C673" s="7" t="s">
        <v>1305</v>
      </c>
      <c r="D673" s="1" t="s">
        <v>21</v>
      </c>
      <c r="E673" s="10" t="s">
        <v>1293</v>
      </c>
      <c r="F673" s="7" t="s">
        <v>1182</v>
      </c>
      <c r="G673" s="11">
        <v>1815</v>
      </c>
      <c r="H673" s="17">
        <f t="shared" si="45"/>
        <v>1905.75</v>
      </c>
      <c r="I673" s="17">
        <f t="shared" si="46"/>
        <v>2001.0375000000001</v>
      </c>
      <c r="J673" s="112">
        <f t="shared" si="47"/>
        <v>2161.1205000000004</v>
      </c>
      <c r="K673" s="112">
        <v>2161.1205000000004</v>
      </c>
      <c r="L673" s="17">
        <f t="shared" si="48"/>
        <v>1288.0278180000003</v>
      </c>
      <c r="M673" t="s">
        <v>3246</v>
      </c>
    </row>
    <row r="674" spans="1:17" x14ac:dyDescent="0.25">
      <c r="B674" s="6" t="s">
        <v>1282</v>
      </c>
      <c r="C674" s="7" t="s">
        <v>1306</v>
      </c>
      <c r="D674" s="1" t="s">
        <v>21</v>
      </c>
      <c r="E674" s="10" t="s">
        <v>1294</v>
      </c>
      <c r="F674" s="7" t="s">
        <v>1183</v>
      </c>
      <c r="G674" s="11">
        <v>1746</v>
      </c>
      <c r="H674" s="17">
        <f t="shared" si="45"/>
        <v>1833.3000000000002</v>
      </c>
      <c r="I674" s="17">
        <f t="shared" si="46"/>
        <v>1924.9650000000004</v>
      </c>
      <c r="J674" s="112">
        <f t="shared" si="47"/>
        <v>2078.9622000000004</v>
      </c>
      <c r="K674" s="112">
        <v>2078.9622000000004</v>
      </c>
      <c r="L674" s="17">
        <f t="shared" si="48"/>
        <v>1239.0614712000001</v>
      </c>
      <c r="M674" t="s">
        <v>3246</v>
      </c>
    </row>
    <row r="675" spans="1:17" x14ac:dyDescent="0.25">
      <c r="B675" s="6" t="s">
        <v>1283</v>
      </c>
      <c r="C675" s="7" t="s">
        <v>1305</v>
      </c>
      <c r="D675" s="1" t="s">
        <v>14</v>
      </c>
      <c r="E675" s="10" t="s">
        <v>1295</v>
      </c>
      <c r="F675" s="7" t="s">
        <v>1182</v>
      </c>
      <c r="G675" s="11">
        <v>1830</v>
      </c>
      <c r="H675" s="17">
        <f t="shared" si="45"/>
        <v>1921.5</v>
      </c>
      <c r="I675" s="17">
        <f t="shared" si="46"/>
        <v>2017.575</v>
      </c>
      <c r="J675" s="112">
        <f t="shared" si="47"/>
        <v>2178.9810000000002</v>
      </c>
      <c r="K675" s="112">
        <v>2178.9810000000002</v>
      </c>
      <c r="L675" s="17">
        <f t="shared" si="48"/>
        <v>1298.6726760000001</v>
      </c>
      <c r="M675" t="s">
        <v>3246</v>
      </c>
    </row>
    <row r="676" spans="1:17" x14ac:dyDescent="0.25">
      <c r="A676" s="4"/>
      <c r="B676" s="6" t="s">
        <v>1284</v>
      </c>
      <c r="C676" s="7" t="s">
        <v>1306</v>
      </c>
      <c r="D676" s="1" t="s">
        <v>14</v>
      </c>
      <c r="E676" s="10" t="s">
        <v>1296</v>
      </c>
      <c r="F676" s="7" t="s">
        <v>1183</v>
      </c>
      <c r="G676" s="11">
        <v>1750</v>
      </c>
      <c r="H676" s="17">
        <f t="shared" si="45"/>
        <v>1837.5</v>
      </c>
      <c r="I676" s="17">
        <f t="shared" si="46"/>
        <v>1929.375</v>
      </c>
      <c r="J676" s="112">
        <f t="shared" si="47"/>
        <v>2083.7250000000004</v>
      </c>
      <c r="K676" s="112">
        <v>2083.7250000000004</v>
      </c>
      <c r="L676" s="17">
        <f t="shared" si="48"/>
        <v>1241.9001000000001</v>
      </c>
      <c r="M676" t="s">
        <v>3246</v>
      </c>
    </row>
    <row r="677" spans="1:17" x14ac:dyDescent="0.25">
      <c r="A677" s="30"/>
      <c r="B677" s="6" t="s">
        <v>1285</v>
      </c>
      <c r="C677" s="7" t="s">
        <v>1305</v>
      </c>
      <c r="D677" s="1" t="s">
        <v>15</v>
      </c>
      <c r="E677" s="10" t="s">
        <v>1297</v>
      </c>
      <c r="F677" s="7" t="s">
        <v>1182</v>
      </c>
      <c r="G677" s="11">
        <v>1907</v>
      </c>
      <c r="H677" s="17">
        <f t="shared" si="45"/>
        <v>2002.3500000000001</v>
      </c>
      <c r="I677" s="17">
        <f t="shared" si="46"/>
        <v>2102.4675000000002</v>
      </c>
      <c r="J677" s="112">
        <f t="shared" si="47"/>
        <v>2270.6649000000002</v>
      </c>
      <c r="K677" s="112">
        <v>2270.6649000000002</v>
      </c>
      <c r="L677" s="17">
        <f t="shared" si="48"/>
        <v>1353.3162804000001</v>
      </c>
      <c r="M677" t="s">
        <v>3246</v>
      </c>
    </row>
    <row r="678" spans="1:17" x14ac:dyDescent="0.25">
      <c r="B678" s="6" t="s">
        <v>1286</v>
      </c>
      <c r="C678" s="7" t="s">
        <v>1306</v>
      </c>
      <c r="D678" s="1" t="s">
        <v>15</v>
      </c>
      <c r="E678" s="10" t="s">
        <v>1298</v>
      </c>
      <c r="F678" s="7" t="s">
        <v>1183</v>
      </c>
      <c r="G678" s="11">
        <v>1833</v>
      </c>
      <c r="H678" s="17">
        <f t="shared" si="45"/>
        <v>1924.65</v>
      </c>
      <c r="I678" s="17">
        <f t="shared" si="46"/>
        <v>2020.8825000000002</v>
      </c>
      <c r="J678" s="112">
        <f t="shared" si="47"/>
        <v>2182.5531000000005</v>
      </c>
      <c r="K678" s="112">
        <v>2182.5531000000005</v>
      </c>
      <c r="L678" s="17">
        <f t="shared" si="48"/>
        <v>1300.8016476000003</v>
      </c>
      <c r="M678" t="s">
        <v>3246</v>
      </c>
    </row>
    <row r="679" spans="1:17" x14ac:dyDescent="0.25">
      <c r="B679" s="6" t="s">
        <v>1287</v>
      </c>
      <c r="C679" s="7" t="s">
        <v>1305</v>
      </c>
      <c r="D679" s="1" t="s">
        <v>16</v>
      </c>
      <c r="E679" s="10" t="s">
        <v>1299</v>
      </c>
      <c r="F679" s="7" t="s">
        <v>1182</v>
      </c>
      <c r="G679" s="11">
        <v>1948</v>
      </c>
      <c r="H679" s="17">
        <f t="shared" si="45"/>
        <v>2045.4</v>
      </c>
      <c r="I679" s="17">
        <f t="shared" si="46"/>
        <v>2147.67</v>
      </c>
      <c r="J679" s="112">
        <f t="shared" si="47"/>
        <v>2319.4836</v>
      </c>
      <c r="K679" s="112">
        <v>2319.4836</v>
      </c>
      <c r="L679" s="17">
        <f t="shared" si="48"/>
        <v>1382.4122256000001</v>
      </c>
      <c r="M679" t="s">
        <v>3246</v>
      </c>
    </row>
    <row r="680" spans="1:17" x14ac:dyDescent="0.25">
      <c r="B680" s="6" t="s">
        <v>1288</v>
      </c>
      <c r="C680" s="7" t="s">
        <v>1306</v>
      </c>
      <c r="D680" s="1" t="s">
        <v>16</v>
      </c>
      <c r="E680" s="10" t="s">
        <v>1300</v>
      </c>
      <c r="F680" s="7" t="s">
        <v>1183</v>
      </c>
      <c r="G680" s="11">
        <v>1872</v>
      </c>
      <c r="H680" s="17">
        <f t="shared" si="45"/>
        <v>1965.6000000000001</v>
      </c>
      <c r="I680" s="17">
        <f t="shared" si="46"/>
        <v>2063.88</v>
      </c>
      <c r="J680" s="112">
        <f t="shared" si="47"/>
        <v>2228.9904000000001</v>
      </c>
      <c r="K680" s="112">
        <v>2228.9904000000001</v>
      </c>
      <c r="L680" s="17">
        <f t="shared" si="48"/>
        <v>1328.4782784000001</v>
      </c>
      <c r="M680" t="s">
        <v>3246</v>
      </c>
    </row>
    <row r="681" spans="1:17" x14ac:dyDescent="0.25">
      <c r="B681" s="6" t="s">
        <v>1289</v>
      </c>
      <c r="C681" s="7" t="s">
        <v>1305</v>
      </c>
      <c r="D681" s="1" t="s">
        <v>18</v>
      </c>
      <c r="E681" s="10" t="s">
        <v>1301</v>
      </c>
      <c r="F681" s="7" t="s">
        <v>1182</v>
      </c>
      <c r="G681" s="11">
        <v>2050</v>
      </c>
      <c r="H681" s="17">
        <f t="shared" si="45"/>
        <v>2152.5</v>
      </c>
      <c r="I681" s="17">
        <f t="shared" si="46"/>
        <v>2260.125</v>
      </c>
      <c r="J681" s="112">
        <f t="shared" si="47"/>
        <v>2440.9349999999999</v>
      </c>
      <c r="K681" s="112">
        <v>2440.9349999999999</v>
      </c>
      <c r="L681" s="17">
        <f t="shared" si="48"/>
        <v>1454.7972599999998</v>
      </c>
      <c r="M681" t="s">
        <v>3246</v>
      </c>
    </row>
    <row r="682" spans="1:17" x14ac:dyDescent="0.25">
      <c r="B682" s="6" t="s">
        <v>1290</v>
      </c>
      <c r="C682" s="7" t="s">
        <v>1306</v>
      </c>
      <c r="D682" s="1" t="s">
        <v>18</v>
      </c>
      <c r="E682" s="10" t="s">
        <v>1302</v>
      </c>
      <c r="F682" s="7" t="s">
        <v>1183</v>
      </c>
      <c r="G682" s="11">
        <v>1969</v>
      </c>
      <c r="H682" s="17">
        <f t="shared" si="45"/>
        <v>2067.4500000000003</v>
      </c>
      <c r="I682" s="17">
        <f t="shared" si="46"/>
        <v>2170.8225000000002</v>
      </c>
      <c r="J682" s="112">
        <f t="shared" si="47"/>
        <v>2344.4883000000004</v>
      </c>
      <c r="K682" s="112">
        <v>2344.4883000000004</v>
      </c>
      <c r="L682" s="17">
        <f t="shared" si="48"/>
        <v>1397.3150268000002</v>
      </c>
      <c r="M682" t="s">
        <v>3246</v>
      </c>
    </row>
    <row r="683" spans="1:17" s="62" customFormat="1" x14ac:dyDescent="0.25">
      <c r="A683" s="62" t="s">
        <v>2922</v>
      </c>
      <c r="B683" s="75" t="s">
        <v>2901</v>
      </c>
      <c r="C683" s="63"/>
      <c r="D683" s="63"/>
      <c r="E683" s="66"/>
      <c r="F683" s="63"/>
      <c r="G683" s="65"/>
      <c r="H683" s="17"/>
      <c r="I683" s="17">
        <f t="shared" si="46"/>
        <v>0</v>
      </c>
      <c r="J683" s="113"/>
      <c r="K683" s="70"/>
      <c r="L683" s="70"/>
    </row>
    <row r="684" spans="1:17" x14ac:dyDescent="0.25">
      <c r="A684" s="4"/>
      <c r="B684" s="6" t="s">
        <v>1307</v>
      </c>
      <c r="C684" s="7" t="s">
        <v>1303</v>
      </c>
      <c r="D684" s="1" t="s">
        <v>7</v>
      </c>
      <c r="E684" s="10" t="s">
        <v>1331</v>
      </c>
      <c r="F684" s="7" t="s">
        <v>1327</v>
      </c>
      <c r="G684" s="11">
        <v>1405</v>
      </c>
      <c r="H684" s="17">
        <f t="shared" si="45"/>
        <v>1475.25</v>
      </c>
      <c r="I684" s="17">
        <f t="shared" si="46"/>
        <v>1549.0125</v>
      </c>
      <c r="J684" s="112">
        <f t="shared" si="47"/>
        <v>1672.9335000000001</v>
      </c>
      <c r="K684" s="112">
        <v>1672.9335000000001</v>
      </c>
      <c r="L684" s="17">
        <f t="shared" si="48"/>
        <v>997.06836599999997</v>
      </c>
      <c r="M684" t="s">
        <v>3246</v>
      </c>
      <c r="O684" s="54"/>
      <c r="Q684" s="54"/>
    </row>
    <row r="685" spans="1:17" x14ac:dyDescent="0.25">
      <c r="A685" s="10" t="s">
        <v>2935</v>
      </c>
      <c r="B685" s="6" t="s">
        <v>1308</v>
      </c>
      <c r="C685" s="7" t="s">
        <v>1304</v>
      </c>
      <c r="D685" s="1" t="s">
        <v>7</v>
      </c>
      <c r="E685" s="10" t="s">
        <v>1335</v>
      </c>
      <c r="F685" s="7" t="s">
        <v>1328</v>
      </c>
      <c r="G685" s="11">
        <v>1405</v>
      </c>
      <c r="H685" s="17">
        <f t="shared" si="45"/>
        <v>1475.25</v>
      </c>
      <c r="I685" s="17">
        <f t="shared" si="46"/>
        <v>1549.0125</v>
      </c>
      <c r="J685" s="112">
        <f t="shared" si="47"/>
        <v>1672.9335000000001</v>
      </c>
      <c r="K685" s="112">
        <v>1672.9335000000001</v>
      </c>
      <c r="L685" s="17">
        <f t="shared" si="48"/>
        <v>997.06836599999997</v>
      </c>
      <c r="M685" t="s">
        <v>3246</v>
      </c>
    </row>
    <row r="686" spans="1:17" x14ac:dyDescent="0.25">
      <c r="B686" s="6" t="s">
        <v>1309</v>
      </c>
      <c r="C686" s="7" t="s">
        <v>1303</v>
      </c>
      <c r="D686" s="1" t="s">
        <v>8</v>
      </c>
      <c r="E686" s="10" t="s">
        <v>1332</v>
      </c>
      <c r="F686" s="7" t="s">
        <v>1327</v>
      </c>
      <c r="G686" s="11">
        <v>1439</v>
      </c>
      <c r="H686" s="17">
        <f t="shared" si="45"/>
        <v>1510.95</v>
      </c>
      <c r="I686" s="17">
        <f t="shared" si="46"/>
        <v>1586.4975000000002</v>
      </c>
      <c r="J686" s="112">
        <f t="shared" si="47"/>
        <v>1713.4173000000003</v>
      </c>
      <c r="K686" s="112">
        <v>1713.4173000000003</v>
      </c>
      <c r="L686" s="17">
        <f t="shared" si="48"/>
        <v>1021.1967108000001</v>
      </c>
      <c r="M686" t="s">
        <v>3246</v>
      </c>
    </row>
    <row r="687" spans="1:17" x14ac:dyDescent="0.25">
      <c r="B687" s="6" t="s">
        <v>1310</v>
      </c>
      <c r="C687" s="7" t="s">
        <v>1304</v>
      </c>
      <c r="D687" s="1" t="s">
        <v>8</v>
      </c>
      <c r="E687" s="10" t="s">
        <v>1336</v>
      </c>
      <c r="F687" s="7" t="s">
        <v>1328</v>
      </c>
      <c r="G687" s="11">
        <v>1439</v>
      </c>
      <c r="H687" s="17">
        <f t="shared" si="45"/>
        <v>1510.95</v>
      </c>
      <c r="I687" s="17">
        <f t="shared" si="46"/>
        <v>1586.4975000000002</v>
      </c>
      <c r="J687" s="112">
        <f t="shared" si="47"/>
        <v>1713.4173000000003</v>
      </c>
      <c r="K687" s="112">
        <v>1713.4173000000003</v>
      </c>
      <c r="L687" s="17">
        <f t="shared" si="48"/>
        <v>1021.1967108000001</v>
      </c>
      <c r="M687" t="s">
        <v>3246</v>
      </c>
    </row>
    <row r="688" spans="1:17" x14ac:dyDescent="0.25">
      <c r="B688" s="6" t="s">
        <v>1311</v>
      </c>
      <c r="C688" s="7" t="s">
        <v>1303</v>
      </c>
      <c r="D688" s="1" t="s">
        <v>9</v>
      </c>
      <c r="E688" s="10" t="s">
        <v>1333</v>
      </c>
      <c r="F688" s="7" t="s">
        <v>1327</v>
      </c>
      <c r="G688" s="11">
        <v>1541</v>
      </c>
      <c r="H688" s="17">
        <f t="shared" si="45"/>
        <v>1618.0500000000002</v>
      </c>
      <c r="I688" s="17">
        <f t="shared" si="46"/>
        <v>1698.9525000000003</v>
      </c>
      <c r="J688" s="112">
        <f t="shared" si="47"/>
        <v>1834.8687000000004</v>
      </c>
      <c r="K688" s="112">
        <v>1834.8687000000004</v>
      </c>
      <c r="L688" s="17">
        <f t="shared" si="48"/>
        <v>1093.5817452000001</v>
      </c>
      <c r="M688" t="s">
        <v>3246</v>
      </c>
    </row>
    <row r="689" spans="1:13" x14ac:dyDescent="0.25">
      <c r="B689" s="6" t="s">
        <v>1312</v>
      </c>
      <c r="C689" s="7" t="s">
        <v>1304</v>
      </c>
      <c r="D689" s="1" t="s">
        <v>9</v>
      </c>
      <c r="E689" s="10" t="s">
        <v>1337</v>
      </c>
      <c r="F689" s="7" t="s">
        <v>1328</v>
      </c>
      <c r="G689" s="11">
        <v>1541</v>
      </c>
      <c r="H689" s="17">
        <f t="shared" si="45"/>
        <v>1618.0500000000002</v>
      </c>
      <c r="I689" s="17">
        <f t="shared" si="46"/>
        <v>1698.9525000000003</v>
      </c>
      <c r="J689" s="112">
        <f t="shared" si="47"/>
        <v>1834.8687000000004</v>
      </c>
      <c r="K689" s="112">
        <v>1834.8687000000004</v>
      </c>
      <c r="L689" s="17">
        <f t="shared" si="48"/>
        <v>1093.5817452000001</v>
      </c>
      <c r="M689" t="s">
        <v>3246</v>
      </c>
    </row>
    <row r="690" spans="1:13" x14ac:dyDescent="0.25">
      <c r="B690" s="6" t="s">
        <v>1313</v>
      </c>
      <c r="C690" s="7" t="s">
        <v>1303</v>
      </c>
      <c r="D690" s="1" t="s">
        <v>11</v>
      </c>
      <c r="E690" s="10" t="s">
        <v>1334</v>
      </c>
      <c r="F690" s="7" t="s">
        <v>1327</v>
      </c>
      <c r="G690" s="11">
        <v>1638</v>
      </c>
      <c r="H690" s="17">
        <f t="shared" si="45"/>
        <v>1719.9</v>
      </c>
      <c r="I690" s="17">
        <f t="shared" si="46"/>
        <v>1805.8950000000002</v>
      </c>
      <c r="J690" s="112">
        <f t="shared" si="47"/>
        <v>1950.3666000000003</v>
      </c>
      <c r="K690" s="112">
        <v>1950.3666000000003</v>
      </c>
      <c r="L690" s="17">
        <f t="shared" si="48"/>
        <v>1162.4184936000001</v>
      </c>
      <c r="M690" t="s">
        <v>3246</v>
      </c>
    </row>
    <row r="691" spans="1:13" x14ac:dyDescent="0.25">
      <c r="B691" s="6" t="s">
        <v>1314</v>
      </c>
      <c r="C691" s="7" t="s">
        <v>1304</v>
      </c>
      <c r="D691" s="1" t="s">
        <v>11</v>
      </c>
      <c r="E691" s="10" t="s">
        <v>1338</v>
      </c>
      <c r="F691" s="7" t="s">
        <v>1328</v>
      </c>
      <c r="G691" s="11">
        <v>1638</v>
      </c>
      <c r="H691" s="17">
        <f t="shared" si="45"/>
        <v>1719.9</v>
      </c>
      <c r="I691" s="17">
        <f t="shared" si="46"/>
        <v>1805.8950000000002</v>
      </c>
      <c r="J691" s="112">
        <f t="shared" si="47"/>
        <v>1950.3666000000003</v>
      </c>
      <c r="K691" s="112">
        <v>1950.3666000000003</v>
      </c>
      <c r="L691" s="17">
        <f t="shared" si="48"/>
        <v>1162.4184936000001</v>
      </c>
      <c r="M691" t="s">
        <v>3246</v>
      </c>
    </row>
    <row r="692" spans="1:13" x14ac:dyDescent="0.25">
      <c r="B692" s="6" t="s">
        <v>1315</v>
      </c>
      <c r="C692" s="7" t="s">
        <v>1303</v>
      </c>
      <c r="D692" s="9" t="s">
        <v>13</v>
      </c>
      <c r="E692" s="2" t="s">
        <v>1345</v>
      </c>
      <c r="F692" s="7" t="s">
        <v>1329</v>
      </c>
      <c r="G692" s="24">
        <v>1433</v>
      </c>
      <c r="H692" s="17">
        <f t="shared" si="45"/>
        <v>1504.65</v>
      </c>
      <c r="I692" s="17">
        <f t="shared" si="46"/>
        <v>1579.8825000000002</v>
      </c>
      <c r="J692" s="112">
        <f t="shared" si="47"/>
        <v>1706.2731000000003</v>
      </c>
      <c r="K692" s="112">
        <v>1706.2731000000003</v>
      </c>
      <c r="L692" s="17">
        <f t="shared" si="48"/>
        <v>1016.9387676000001</v>
      </c>
      <c r="M692" t="s">
        <v>3246</v>
      </c>
    </row>
    <row r="693" spans="1:13" x14ac:dyDescent="0.25">
      <c r="B693" s="6" t="s">
        <v>1316</v>
      </c>
      <c r="C693" s="7" t="s">
        <v>1304</v>
      </c>
      <c r="D693" s="9" t="s">
        <v>13</v>
      </c>
      <c r="E693" s="2" t="s">
        <v>1339</v>
      </c>
      <c r="F693" s="7" t="s">
        <v>1330</v>
      </c>
      <c r="G693" s="24">
        <v>1433</v>
      </c>
      <c r="H693" s="17">
        <f t="shared" si="45"/>
        <v>1504.65</v>
      </c>
      <c r="I693" s="17">
        <f t="shared" si="46"/>
        <v>1579.8825000000002</v>
      </c>
      <c r="J693" s="112">
        <f t="shared" si="47"/>
        <v>1706.2731000000003</v>
      </c>
      <c r="K693" s="112">
        <v>1706.2731000000003</v>
      </c>
      <c r="L693" s="17">
        <f t="shared" si="48"/>
        <v>1016.9387676000001</v>
      </c>
      <c r="M693" t="s">
        <v>3246</v>
      </c>
    </row>
    <row r="694" spans="1:13" x14ac:dyDescent="0.25">
      <c r="B694" s="6" t="s">
        <v>1317</v>
      </c>
      <c r="C694" s="7" t="s">
        <v>1303</v>
      </c>
      <c r="D694" s="9" t="s">
        <v>21</v>
      </c>
      <c r="E694" s="2" t="s">
        <v>1346</v>
      </c>
      <c r="F694" s="7" t="s">
        <v>1329</v>
      </c>
      <c r="G694" s="24">
        <v>1467</v>
      </c>
      <c r="H694" s="17">
        <f t="shared" si="45"/>
        <v>1540.3500000000001</v>
      </c>
      <c r="I694" s="17">
        <f t="shared" si="46"/>
        <v>1617.3675000000003</v>
      </c>
      <c r="J694" s="112">
        <f t="shared" si="47"/>
        <v>1746.7569000000005</v>
      </c>
      <c r="K694" s="112">
        <v>1746.7569000000005</v>
      </c>
      <c r="L694" s="17">
        <f t="shared" si="48"/>
        <v>1041.0671124000003</v>
      </c>
      <c r="M694" t="s">
        <v>3246</v>
      </c>
    </row>
    <row r="695" spans="1:13" x14ac:dyDescent="0.25">
      <c r="B695" s="6" t="s">
        <v>1318</v>
      </c>
      <c r="C695" s="7" t="s">
        <v>1304</v>
      </c>
      <c r="D695" s="9" t="s">
        <v>21</v>
      </c>
      <c r="E695" s="2" t="s">
        <v>1340</v>
      </c>
      <c r="F695" s="7" t="s">
        <v>1330</v>
      </c>
      <c r="G695" s="24">
        <v>1467</v>
      </c>
      <c r="H695" s="17">
        <f t="shared" si="45"/>
        <v>1540.3500000000001</v>
      </c>
      <c r="I695" s="17">
        <f t="shared" si="46"/>
        <v>1617.3675000000003</v>
      </c>
      <c r="J695" s="112">
        <f t="shared" si="47"/>
        <v>1746.7569000000005</v>
      </c>
      <c r="K695" s="112">
        <v>1746.7569000000005</v>
      </c>
      <c r="L695" s="17">
        <f t="shared" si="48"/>
        <v>1041.0671124000003</v>
      </c>
      <c r="M695" t="s">
        <v>3246</v>
      </c>
    </row>
    <row r="696" spans="1:13" x14ac:dyDescent="0.25">
      <c r="B696" s="6" t="s">
        <v>1319</v>
      </c>
      <c r="C696" s="7" t="s">
        <v>1303</v>
      </c>
      <c r="D696" s="9" t="s">
        <v>14</v>
      </c>
      <c r="E696" s="2" t="s">
        <v>1347</v>
      </c>
      <c r="F696" s="7" t="s">
        <v>1329</v>
      </c>
      <c r="G696" s="24">
        <v>1503</v>
      </c>
      <c r="H696" s="17">
        <f t="shared" si="45"/>
        <v>1578.15</v>
      </c>
      <c r="I696" s="17">
        <f t="shared" si="46"/>
        <v>1657.0575000000001</v>
      </c>
      <c r="J696" s="112">
        <f t="shared" si="47"/>
        <v>1789.6221000000003</v>
      </c>
      <c r="K696" s="112">
        <v>1789.6221000000003</v>
      </c>
      <c r="L696" s="17">
        <f t="shared" si="48"/>
        <v>1066.6147716</v>
      </c>
      <c r="M696" t="s">
        <v>3246</v>
      </c>
    </row>
    <row r="697" spans="1:13" x14ac:dyDescent="0.25">
      <c r="B697" s="6" t="s">
        <v>1320</v>
      </c>
      <c r="C697" s="7" t="s">
        <v>1304</v>
      </c>
      <c r="D697" s="9" t="s">
        <v>14</v>
      </c>
      <c r="E697" s="2" t="s">
        <v>1341</v>
      </c>
      <c r="F697" s="7" t="s">
        <v>1330</v>
      </c>
      <c r="G697" s="24">
        <v>1503</v>
      </c>
      <c r="H697" s="17">
        <f t="shared" si="45"/>
        <v>1578.15</v>
      </c>
      <c r="I697" s="17">
        <f t="shared" si="46"/>
        <v>1657.0575000000001</v>
      </c>
      <c r="J697" s="112">
        <f t="shared" si="47"/>
        <v>1789.6221000000003</v>
      </c>
      <c r="K697" s="112">
        <v>1789.6221000000003</v>
      </c>
      <c r="L697" s="17">
        <f t="shared" si="48"/>
        <v>1066.6147716</v>
      </c>
      <c r="M697" t="s">
        <v>3246</v>
      </c>
    </row>
    <row r="698" spans="1:13" x14ac:dyDescent="0.25">
      <c r="B698" s="6" t="s">
        <v>1321</v>
      </c>
      <c r="C698" s="7" t="s">
        <v>1303</v>
      </c>
      <c r="D698" s="9" t="s">
        <v>15</v>
      </c>
      <c r="E698" s="2" t="s">
        <v>1348</v>
      </c>
      <c r="F698" s="7" t="s">
        <v>1329</v>
      </c>
      <c r="G698" s="24">
        <v>1541</v>
      </c>
      <c r="H698" s="17">
        <f t="shared" si="45"/>
        <v>1618.0500000000002</v>
      </c>
      <c r="I698" s="17">
        <f t="shared" si="46"/>
        <v>1698.9525000000003</v>
      </c>
      <c r="J698" s="112">
        <f t="shared" si="47"/>
        <v>1834.8687000000004</v>
      </c>
      <c r="K698" s="112">
        <v>1834.8687000000004</v>
      </c>
      <c r="L698" s="17">
        <f t="shared" si="48"/>
        <v>1093.5817452000001</v>
      </c>
      <c r="M698" t="s">
        <v>3246</v>
      </c>
    </row>
    <row r="699" spans="1:13" x14ac:dyDescent="0.25">
      <c r="B699" s="6" t="s">
        <v>1322</v>
      </c>
      <c r="C699" s="7" t="s">
        <v>1304</v>
      </c>
      <c r="D699" s="9" t="s">
        <v>15</v>
      </c>
      <c r="E699" s="2" t="s">
        <v>1342</v>
      </c>
      <c r="F699" s="7" t="s">
        <v>1330</v>
      </c>
      <c r="G699" s="24">
        <v>1541</v>
      </c>
      <c r="H699" s="17">
        <f t="shared" si="45"/>
        <v>1618.0500000000002</v>
      </c>
      <c r="I699" s="17">
        <f t="shared" si="46"/>
        <v>1698.9525000000003</v>
      </c>
      <c r="J699" s="112">
        <f t="shared" si="47"/>
        <v>1834.8687000000004</v>
      </c>
      <c r="K699" s="112">
        <v>1834.8687000000004</v>
      </c>
      <c r="L699" s="17">
        <f t="shared" si="48"/>
        <v>1093.5817452000001</v>
      </c>
      <c r="M699" t="s">
        <v>3246</v>
      </c>
    </row>
    <row r="700" spans="1:13" x14ac:dyDescent="0.25">
      <c r="B700" s="6" t="s">
        <v>1323</v>
      </c>
      <c r="C700" s="7" t="s">
        <v>1303</v>
      </c>
      <c r="D700" s="9" t="s">
        <v>16</v>
      </c>
      <c r="E700" s="2" t="s">
        <v>1349</v>
      </c>
      <c r="F700" s="7" t="s">
        <v>1329</v>
      </c>
      <c r="G700" s="24">
        <v>1579</v>
      </c>
      <c r="H700" s="17">
        <f t="shared" si="45"/>
        <v>1657.95</v>
      </c>
      <c r="I700" s="17">
        <f t="shared" si="46"/>
        <v>1740.8475000000001</v>
      </c>
      <c r="J700" s="112">
        <f t="shared" si="47"/>
        <v>1880.1153000000002</v>
      </c>
      <c r="K700" s="112">
        <v>1880.1153000000002</v>
      </c>
      <c r="L700" s="17">
        <f t="shared" si="48"/>
        <v>1120.5487188</v>
      </c>
      <c r="M700" t="s">
        <v>3246</v>
      </c>
    </row>
    <row r="701" spans="1:13" x14ac:dyDescent="0.25">
      <c r="B701" s="6" t="s">
        <v>1324</v>
      </c>
      <c r="C701" s="7" t="s">
        <v>1304</v>
      </c>
      <c r="D701" s="9" t="s">
        <v>16</v>
      </c>
      <c r="E701" s="2" t="s">
        <v>1343</v>
      </c>
      <c r="F701" s="7" t="s">
        <v>1330</v>
      </c>
      <c r="G701" s="24">
        <v>1579</v>
      </c>
      <c r="H701" s="17">
        <f t="shared" si="45"/>
        <v>1657.95</v>
      </c>
      <c r="I701" s="17">
        <f t="shared" si="46"/>
        <v>1740.8475000000001</v>
      </c>
      <c r="J701" s="112">
        <f t="shared" si="47"/>
        <v>1880.1153000000002</v>
      </c>
      <c r="K701" s="112">
        <v>1880.1153000000002</v>
      </c>
      <c r="L701" s="17">
        <f t="shared" si="48"/>
        <v>1120.5487188</v>
      </c>
      <c r="M701" t="s">
        <v>3246</v>
      </c>
    </row>
    <row r="702" spans="1:13" x14ac:dyDescent="0.25">
      <c r="B702" s="6" t="s">
        <v>1325</v>
      </c>
      <c r="C702" s="7" t="s">
        <v>1303</v>
      </c>
      <c r="D702" s="9" t="s">
        <v>18</v>
      </c>
      <c r="E702" s="2" t="s">
        <v>1350</v>
      </c>
      <c r="F702" s="7" t="s">
        <v>1329</v>
      </c>
      <c r="G702" s="24">
        <v>1679</v>
      </c>
      <c r="H702" s="17">
        <f t="shared" si="45"/>
        <v>1762.95</v>
      </c>
      <c r="I702" s="17">
        <f t="shared" si="46"/>
        <v>1851.0975000000001</v>
      </c>
      <c r="J702" s="112">
        <f t="shared" si="47"/>
        <v>1999.1853000000003</v>
      </c>
      <c r="K702" s="112">
        <v>1999.1853000000003</v>
      </c>
      <c r="L702" s="17">
        <f t="shared" si="48"/>
        <v>1191.5144388000001</v>
      </c>
      <c r="M702" t="s">
        <v>3246</v>
      </c>
    </row>
    <row r="703" spans="1:13" x14ac:dyDescent="0.25">
      <c r="B703" s="6" t="s">
        <v>1326</v>
      </c>
      <c r="C703" s="7" t="s">
        <v>1304</v>
      </c>
      <c r="D703" s="9" t="s">
        <v>18</v>
      </c>
      <c r="E703" s="2" t="s">
        <v>1344</v>
      </c>
      <c r="F703" s="7" t="s">
        <v>1330</v>
      </c>
      <c r="G703" s="24">
        <v>1679</v>
      </c>
      <c r="H703" s="17">
        <f t="shared" si="45"/>
        <v>1762.95</v>
      </c>
      <c r="I703" s="17">
        <f t="shared" si="46"/>
        <v>1851.0975000000001</v>
      </c>
      <c r="J703" s="112">
        <f t="shared" si="47"/>
        <v>1999.1853000000003</v>
      </c>
      <c r="K703" s="112">
        <v>1999.1853000000003</v>
      </c>
      <c r="L703" s="17">
        <f t="shared" si="48"/>
        <v>1191.5144388000001</v>
      </c>
      <c r="M703" t="s">
        <v>3246</v>
      </c>
    </row>
    <row r="704" spans="1:13" s="62" customFormat="1" x14ac:dyDescent="0.25">
      <c r="A704" s="62" t="s">
        <v>2926</v>
      </c>
      <c r="B704" s="75" t="s">
        <v>2901</v>
      </c>
      <c r="C704" s="63"/>
      <c r="D704" s="78"/>
      <c r="E704" s="64"/>
      <c r="F704" s="63"/>
      <c r="G704" s="79"/>
      <c r="H704" s="17"/>
      <c r="I704" s="17">
        <f t="shared" si="46"/>
        <v>0</v>
      </c>
      <c r="J704" s="113"/>
      <c r="K704" s="70"/>
      <c r="L704" s="70"/>
    </row>
    <row r="705" spans="1:13" x14ac:dyDescent="0.25">
      <c r="A705" s="4"/>
      <c r="B705" s="6" t="s">
        <v>1351</v>
      </c>
      <c r="C705" s="7" t="s">
        <v>1375</v>
      </c>
      <c r="D705" s="1" t="s">
        <v>5</v>
      </c>
      <c r="E705" s="2" t="s">
        <v>1433</v>
      </c>
      <c r="F705" s="7" t="s">
        <v>1377</v>
      </c>
      <c r="G705" s="11">
        <v>1910</v>
      </c>
      <c r="H705" s="17">
        <f t="shared" si="45"/>
        <v>2005.5</v>
      </c>
      <c r="I705" s="17">
        <f t="shared" si="46"/>
        <v>2105.7750000000001</v>
      </c>
      <c r="J705" s="112">
        <f t="shared" si="47"/>
        <v>2274.2370000000001</v>
      </c>
      <c r="K705" s="112">
        <v>2274.2370000000001</v>
      </c>
      <c r="L705" s="17">
        <f t="shared" ref="L705:L768" si="49">K705*0.596</f>
        <v>1355.445252</v>
      </c>
      <c r="M705" t="s">
        <v>3246</v>
      </c>
    </row>
    <row r="706" spans="1:13" x14ac:dyDescent="0.25">
      <c r="A706" s="2" t="s">
        <v>2934</v>
      </c>
      <c r="B706" s="6" t="s">
        <v>1352</v>
      </c>
      <c r="C706" s="7" t="s">
        <v>1376</v>
      </c>
      <c r="D706" s="1" t="s">
        <v>5</v>
      </c>
      <c r="E706" s="2" t="s">
        <v>1457</v>
      </c>
      <c r="F706" s="7" t="s">
        <v>1437</v>
      </c>
      <c r="G706" s="11">
        <v>1910</v>
      </c>
      <c r="H706" s="17">
        <f t="shared" ref="H706:H769" si="50">G706*1.05</f>
        <v>2005.5</v>
      </c>
      <c r="I706" s="17">
        <f t="shared" ref="I706:I769" si="51">H706*1.05</f>
        <v>2105.7750000000001</v>
      </c>
      <c r="J706" s="112">
        <f t="shared" ref="J706:J769" si="52">I706*1.08</f>
        <v>2274.2370000000001</v>
      </c>
      <c r="K706" s="112">
        <v>2274.2370000000001</v>
      </c>
      <c r="L706" s="17">
        <f t="shared" si="49"/>
        <v>1355.445252</v>
      </c>
      <c r="M706" t="s">
        <v>3246</v>
      </c>
    </row>
    <row r="707" spans="1:13" x14ac:dyDescent="0.25">
      <c r="B707" s="6" t="s">
        <v>1353</v>
      </c>
      <c r="C707" s="7" t="s">
        <v>1375</v>
      </c>
      <c r="D707" s="1" t="s">
        <v>6</v>
      </c>
      <c r="E707" s="2" t="s">
        <v>1434</v>
      </c>
      <c r="F707" s="7" t="s">
        <v>1377</v>
      </c>
      <c r="G707" s="11">
        <v>1960</v>
      </c>
      <c r="H707" s="17">
        <f t="shared" si="50"/>
        <v>2058</v>
      </c>
      <c r="I707" s="17">
        <f t="shared" si="51"/>
        <v>2160.9</v>
      </c>
      <c r="J707" s="112">
        <f t="shared" si="52"/>
        <v>2333.7720000000004</v>
      </c>
      <c r="K707" s="112">
        <v>2333.7720000000004</v>
      </c>
      <c r="L707" s="17">
        <f t="shared" si="49"/>
        <v>1390.9281120000003</v>
      </c>
      <c r="M707" t="s">
        <v>3246</v>
      </c>
    </row>
    <row r="708" spans="1:13" x14ac:dyDescent="0.25">
      <c r="B708" s="6" t="s">
        <v>1354</v>
      </c>
      <c r="C708" s="7" t="s">
        <v>1376</v>
      </c>
      <c r="D708" s="1" t="s">
        <v>6</v>
      </c>
      <c r="E708" s="2" t="s">
        <v>1456</v>
      </c>
      <c r="F708" s="7" t="s">
        <v>1437</v>
      </c>
      <c r="G708" s="11">
        <v>1960</v>
      </c>
      <c r="H708" s="17">
        <f t="shared" si="50"/>
        <v>2058</v>
      </c>
      <c r="I708" s="17">
        <f t="shared" si="51"/>
        <v>2160.9</v>
      </c>
      <c r="J708" s="112">
        <f t="shared" si="52"/>
        <v>2333.7720000000004</v>
      </c>
      <c r="K708" s="112">
        <v>2333.7720000000004</v>
      </c>
      <c r="L708" s="17">
        <f t="shared" si="49"/>
        <v>1390.9281120000003</v>
      </c>
      <c r="M708" t="s">
        <v>3246</v>
      </c>
    </row>
    <row r="709" spans="1:13" x14ac:dyDescent="0.25">
      <c r="B709" s="6" t="s">
        <v>1355</v>
      </c>
      <c r="C709" s="7" t="s">
        <v>1375</v>
      </c>
      <c r="D709" s="1" t="s">
        <v>7</v>
      </c>
      <c r="E709" s="2" t="s">
        <v>1438</v>
      </c>
      <c r="F709" s="7" t="s">
        <v>1377</v>
      </c>
      <c r="G709" s="11">
        <v>2006</v>
      </c>
      <c r="H709" s="17">
        <f t="shared" si="50"/>
        <v>2106.3000000000002</v>
      </c>
      <c r="I709" s="17">
        <f t="shared" si="51"/>
        <v>2211.6150000000002</v>
      </c>
      <c r="J709" s="112">
        <f t="shared" si="52"/>
        <v>2388.5442000000003</v>
      </c>
      <c r="K709" s="112">
        <v>2388.5442000000003</v>
      </c>
      <c r="L709" s="17">
        <f t="shared" si="49"/>
        <v>1423.5723432000002</v>
      </c>
      <c r="M709" t="s">
        <v>3246</v>
      </c>
    </row>
    <row r="710" spans="1:13" x14ac:dyDescent="0.25">
      <c r="B710" s="6" t="s">
        <v>1356</v>
      </c>
      <c r="C710" s="7" t="s">
        <v>1376</v>
      </c>
      <c r="D710" s="1" t="s">
        <v>7</v>
      </c>
      <c r="E710" s="2" t="s">
        <v>1455</v>
      </c>
      <c r="F710" s="7" t="s">
        <v>1437</v>
      </c>
      <c r="G710" s="11">
        <v>2006</v>
      </c>
      <c r="H710" s="17">
        <f t="shared" si="50"/>
        <v>2106.3000000000002</v>
      </c>
      <c r="I710" s="17">
        <f t="shared" si="51"/>
        <v>2211.6150000000002</v>
      </c>
      <c r="J710" s="112">
        <f t="shared" si="52"/>
        <v>2388.5442000000003</v>
      </c>
      <c r="K710" s="112">
        <v>2388.5442000000003</v>
      </c>
      <c r="L710" s="17">
        <f t="shared" si="49"/>
        <v>1423.5723432000002</v>
      </c>
      <c r="M710" t="s">
        <v>3246</v>
      </c>
    </row>
    <row r="711" spans="1:13" x14ac:dyDescent="0.25">
      <c r="B711" s="6" t="s">
        <v>1357</v>
      </c>
      <c r="C711" s="7" t="s">
        <v>1375</v>
      </c>
      <c r="D711" s="1" t="s">
        <v>8</v>
      </c>
      <c r="E711" s="2" t="s">
        <v>1439</v>
      </c>
      <c r="F711" s="7" t="s">
        <v>1377</v>
      </c>
      <c r="G711" s="11">
        <v>2044</v>
      </c>
      <c r="H711" s="17">
        <f t="shared" si="50"/>
        <v>2146.2000000000003</v>
      </c>
      <c r="I711" s="17">
        <f t="shared" si="51"/>
        <v>2253.5100000000002</v>
      </c>
      <c r="J711" s="112">
        <f t="shared" si="52"/>
        <v>2433.7908000000002</v>
      </c>
      <c r="K711" s="112">
        <v>2433.7908000000002</v>
      </c>
      <c r="L711" s="17">
        <f t="shared" si="49"/>
        <v>1450.5393168000001</v>
      </c>
      <c r="M711" t="s">
        <v>3246</v>
      </c>
    </row>
    <row r="712" spans="1:13" x14ac:dyDescent="0.25">
      <c r="B712" s="6" t="s">
        <v>1358</v>
      </c>
      <c r="C712" s="7" t="s">
        <v>1376</v>
      </c>
      <c r="D712" s="1" t="s">
        <v>8</v>
      </c>
      <c r="E712" s="2" t="s">
        <v>1454</v>
      </c>
      <c r="F712" s="7" t="s">
        <v>1437</v>
      </c>
      <c r="G712" s="11">
        <v>2044</v>
      </c>
      <c r="H712" s="17">
        <f t="shared" si="50"/>
        <v>2146.2000000000003</v>
      </c>
      <c r="I712" s="17">
        <f t="shared" si="51"/>
        <v>2253.5100000000002</v>
      </c>
      <c r="J712" s="112">
        <f t="shared" si="52"/>
        <v>2433.7908000000002</v>
      </c>
      <c r="K712" s="112">
        <v>2433.7908000000002</v>
      </c>
      <c r="L712" s="17">
        <f t="shared" si="49"/>
        <v>1450.5393168000001</v>
      </c>
      <c r="M712" t="s">
        <v>3246</v>
      </c>
    </row>
    <row r="713" spans="1:13" x14ac:dyDescent="0.25">
      <c r="B713" s="6" t="s">
        <v>1359</v>
      </c>
      <c r="C713" s="7" t="s">
        <v>1375</v>
      </c>
      <c r="D713" s="1" t="s">
        <v>9</v>
      </c>
      <c r="E713" s="2" t="s">
        <v>1440</v>
      </c>
      <c r="F713" s="7" t="s">
        <v>1377</v>
      </c>
      <c r="G713" s="11">
        <v>2075</v>
      </c>
      <c r="H713" s="17">
        <f t="shared" si="50"/>
        <v>2178.75</v>
      </c>
      <c r="I713" s="17">
        <f t="shared" si="51"/>
        <v>2287.6875</v>
      </c>
      <c r="J713" s="112">
        <f t="shared" si="52"/>
        <v>2470.7025000000003</v>
      </c>
      <c r="K713" s="112">
        <v>2470.7025000000003</v>
      </c>
      <c r="L713" s="17">
        <f t="shared" si="49"/>
        <v>1472.5386900000001</v>
      </c>
      <c r="M713" t="s">
        <v>3246</v>
      </c>
    </row>
    <row r="714" spans="1:13" x14ac:dyDescent="0.25">
      <c r="B714" s="6" t="s">
        <v>1360</v>
      </c>
      <c r="C714" s="7" t="s">
        <v>1376</v>
      </c>
      <c r="D714" s="1" t="s">
        <v>9</v>
      </c>
      <c r="E714" s="2" t="s">
        <v>1453</v>
      </c>
      <c r="F714" s="7" t="s">
        <v>1437</v>
      </c>
      <c r="G714" s="11">
        <v>2075</v>
      </c>
      <c r="H714" s="17">
        <f t="shared" si="50"/>
        <v>2178.75</v>
      </c>
      <c r="I714" s="17">
        <f t="shared" si="51"/>
        <v>2287.6875</v>
      </c>
      <c r="J714" s="112">
        <f t="shared" si="52"/>
        <v>2470.7025000000003</v>
      </c>
      <c r="K714" s="112">
        <v>2470.7025000000003</v>
      </c>
      <c r="L714" s="17">
        <f t="shared" si="49"/>
        <v>1472.5386900000001</v>
      </c>
      <c r="M714" t="s">
        <v>3246</v>
      </c>
    </row>
    <row r="715" spans="1:13" x14ac:dyDescent="0.25">
      <c r="B715" s="6" t="s">
        <v>1361</v>
      </c>
      <c r="C715" s="7" t="s">
        <v>1375</v>
      </c>
      <c r="D715" s="1" t="s">
        <v>11</v>
      </c>
      <c r="E715" s="2" t="s">
        <v>1441</v>
      </c>
      <c r="F715" s="7" t="s">
        <v>1377</v>
      </c>
      <c r="G715" s="11">
        <v>2389</v>
      </c>
      <c r="H715" s="17">
        <f t="shared" si="50"/>
        <v>2508.4500000000003</v>
      </c>
      <c r="I715" s="17">
        <f t="shared" si="51"/>
        <v>2633.8725000000004</v>
      </c>
      <c r="J715" s="112">
        <f t="shared" si="52"/>
        <v>2844.5823000000005</v>
      </c>
      <c r="K715" s="112">
        <v>2844.5823000000005</v>
      </c>
      <c r="L715" s="17">
        <f t="shared" si="49"/>
        <v>1695.3710508000001</v>
      </c>
      <c r="M715" t="s">
        <v>3246</v>
      </c>
    </row>
    <row r="716" spans="1:13" x14ac:dyDescent="0.25">
      <c r="B716" s="6" t="s">
        <v>1362</v>
      </c>
      <c r="C716" s="7" t="s">
        <v>1376</v>
      </c>
      <c r="D716" s="1" t="s">
        <v>11</v>
      </c>
      <c r="E716" s="2" t="s">
        <v>1452</v>
      </c>
      <c r="F716" s="7" t="s">
        <v>1437</v>
      </c>
      <c r="G716" s="11">
        <v>2389</v>
      </c>
      <c r="H716" s="17">
        <f t="shared" si="50"/>
        <v>2508.4500000000003</v>
      </c>
      <c r="I716" s="17">
        <f t="shared" si="51"/>
        <v>2633.8725000000004</v>
      </c>
      <c r="J716" s="112">
        <f t="shared" si="52"/>
        <v>2844.5823000000005</v>
      </c>
      <c r="K716" s="112">
        <v>2844.5823000000005</v>
      </c>
      <c r="L716" s="17">
        <f t="shared" si="49"/>
        <v>1695.3710508000001</v>
      </c>
      <c r="M716" t="s">
        <v>3246</v>
      </c>
    </row>
    <row r="717" spans="1:13" x14ac:dyDescent="0.25">
      <c r="B717" s="6" t="s">
        <v>1363</v>
      </c>
      <c r="C717" s="7" t="s">
        <v>1375</v>
      </c>
      <c r="D717" s="1" t="s">
        <v>13</v>
      </c>
      <c r="E717" s="2" t="s">
        <v>1435</v>
      </c>
      <c r="F717" s="7" t="s">
        <v>1377</v>
      </c>
      <c r="G717" s="11">
        <v>1977</v>
      </c>
      <c r="H717" s="17">
        <f t="shared" si="50"/>
        <v>2075.85</v>
      </c>
      <c r="I717" s="17">
        <f t="shared" si="51"/>
        <v>2179.6424999999999</v>
      </c>
      <c r="J717" s="112">
        <f t="shared" si="52"/>
        <v>2354.0138999999999</v>
      </c>
      <c r="K717" s="112">
        <v>2354.0138999999999</v>
      </c>
      <c r="L717" s="17">
        <f t="shared" si="49"/>
        <v>1402.9922843999998</v>
      </c>
      <c r="M717" t="s">
        <v>3246</v>
      </c>
    </row>
    <row r="718" spans="1:13" x14ac:dyDescent="0.25">
      <c r="B718" s="6" t="s">
        <v>1364</v>
      </c>
      <c r="C718" s="7" t="s">
        <v>1376</v>
      </c>
      <c r="D718" s="1" t="s">
        <v>13</v>
      </c>
      <c r="E718" s="2" t="s">
        <v>1451</v>
      </c>
      <c r="F718" s="7" t="s">
        <v>1437</v>
      </c>
      <c r="G718" s="11">
        <v>1977</v>
      </c>
      <c r="H718" s="17">
        <f t="shared" si="50"/>
        <v>2075.85</v>
      </c>
      <c r="I718" s="17">
        <f t="shared" si="51"/>
        <v>2179.6424999999999</v>
      </c>
      <c r="J718" s="112">
        <f t="shared" si="52"/>
        <v>2354.0138999999999</v>
      </c>
      <c r="K718" s="112">
        <v>2354.0138999999999</v>
      </c>
      <c r="L718" s="17">
        <f t="shared" si="49"/>
        <v>1402.9922843999998</v>
      </c>
      <c r="M718" t="s">
        <v>3246</v>
      </c>
    </row>
    <row r="719" spans="1:13" x14ac:dyDescent="0.25">
      <c r="B719" s="6" t="s">
        <v>1365</v>
      </c>
      <c r="C719" s="7" t="s">
        <v>1375</v>
      </c>
      <c r="D719" s="1" t="s">
        <v>21</v>
      </c>
      <c r="E719" s="2" t="s">
        <v>1436</v>
      </c>
      <c r="F719" s="7" t="s">
        <v>1377</v>
      </c>
      <c r="G719" s="11">
        <v>2028</v>
      </c>
      <c r="H719" s="17">
        <f t="shared" si="50"/>
        <v>2129.4</v>
      </c>
      <c r="I719" s="17">
        <f t="shared" si="51"/>
        <v>2235.8700000000003</v>
      </c>
      <c r="J719" s="112">
        <f t="shared" si="52"/>
        <v>2414.7396000000003</v>
      </c>
      <c r="K719" s="112">
        <v>2414.7396000000003</v>
      </c>
      <c r="L719" s="17">
        <f t="shared" si="49"/>
        <v>1439.1848016000001</v>
      </c>
      <c r="M719" t="s">
        <v>3246</v>
      </c>
    </row>
    <row r="720" spans="1:13" x14ac:dyDescent="0.25">
      <c r="B720" s="6" t="s">
        <v>1366</v>
      </c>
      <c r="C720" s="7" t="s">
        <v>1376</v>
      </c>
      <c r="D720" s="1" t="s">
        <v>21</v>
      </c>
      <c r="E720" s="2" t="s">
        <v>1450</v>
      </c>
      <c r="F720" s="7" t="s">
        <v>1437</v>
      </c>
      <c r="G720" s="11">
        <v>2028</v>
      </c>
      <c r="H720" s="17">
        <f t="shared" si="50"/>
        <v>2129.4</v>
      </c>
      <c r="I720" s="17">
        <f t="shared" si="51"/>
        <v>2235.8700000000003</v>
      </c>
      <c r="J720" s="112">
        <f t="shared" si="52"/>
        <v>2414.7396000000003</v>
      </c>
      <c r="K720" s="112">
        <v>2414.7396000000003</v>
      </c>
      <c r="L720" s="17">
        <f t="shared" si="49"/>
        <v>1439.1848016000001</v>
      </c>
      <c r="M720" t="s">
        <v>3246</v>
      </c>
    </row>
    <row r="721" spans="1:17" x14ac:dyDescent="0.25">
      <c r="B721" s="6" t="s">
        <v>1367</v>
      </c>
      <c r="C721" s="7" t="s">
        <v>1375</v>
      </c>
      <c r="D721" s="1" t="s">
        <v>14</v>
      </c>
      <c r="E721" s="2" t="s">
        <v>1442</v>
      </c>
      <c r="F721" s="7" t="s">
        <v>1377</v>
      </c>
      <c r="G721" s="11">
        <v>2082</v>
      </c>
      <c r="H721" s="17">
        <f t="shared" si="50"/>
        <v>2186.1</v>
      </c>
      <c r="I721" s="17">
        <f t="shared" si="51"/>
        <v>2295.4050000000002</v>
      </c>
      <c r="J721" s="112">
        <f t="shared" si="52"/>
        <v>2479.0374000000002</v>
      </c>
      <c r="K721" s="112">
        <v>2479.0374000000002</v>
      </c>
      <c r="L721" s="17">
        <f t="shared" si="49"/>
        <v>1477.5062904000001</v>
      </c>
      <c r="M721" t="s">
        <v>3246</v>
      </c>
    </row>
    <row r="722" spans="1:17" x14ac:dyDescent="0.25">
      <c r="B722" s="6" t="s">
        <v>1368</v>
      </c>
      <c r="C722" s="7" t="s">
        <v>1376</v>
      </c>
      <c r="D722" s="1" t="s">
        <v>14</v>
      </c>
      <c r="E722" s="2" t="s">
        <v>1449</v>
      </c>
      <c r="F722" s="7" t="s">
        <v>1437</v>
      </c>
      <c r="G722" s="11">
        <v>2082</v>
      </c>
      <c r="H722" s="17">
        <f t="shared" si="50"/>
        <v>2186.1</v>
      </c>
      <c r="I722" s="17">
        <f t="shared" si="51"/>
        <v>2295.4050000000002</v>
      </c>
      <c r="J722" s="112">
        <f t="shared" si="52"/>
        <v>2479.0374000000002</v>
      </c>
      <c r="K722" s="112">
        <v>2479.0374000000002</v>
      </c>
      <c r="L722" s="17">
        <f t="shared" si="49"/>
        <v>1477.5062904000001</v>
      </c>
      <c r="M722" t="s">
        <v>3246</v>
      </c>
    </row>
    <row r="723" spans="1:17" x14ac:dyDescent="0.25">
      <c r="B723" s="6" t="s">
        <v>1369</v>
      </c>
      <c r="C723" s="7" t="s">
        <v>1375</v>
      </c>
      <c r="D723" s="1" t="s">
        <v>15</v>
      </c>
      <c r="E723" s="2" t="s">
        <v>1443</v>
      </c>
      <c r="F723" s="7" t="s">
        <v>1377</v>
      </c>
      <c r="G723" s="11">
        <v>2108</v>
      </c>
      <c r="H723" s="17">
        <f t="shared" si="50"/>
        <v>2213.4</v>
      </c>
      <c r="I723" s="17">
        <f t="shared" si="51"/>
        <v>2324.0700000000002</v>
      </c>
      <c r="J723" s="112">
        <f t="shared" si="52"/>
        <v>2509.9956000000002</v>
      </c>
      <c r="K723" s="112">
        <v>2509.9956000000002</v>
      </c>
      <c r="L723" s="17">
        <f t="shared" si="49"/>
        <v>1495.9573776</v>
      </c>
      <c r="M723" t="s">
        <v>3246</v>
      </c>
    </row>
    <row r="724" spans="1:17" x14ac:dyDescent="0.25">
      <c r="B724" s="6" t="s">
        <v>1370</v>
      </c>
      <c r="C724" s="7" t="s">
        <v>1376</v>
      </c>
      <c r="D724" s="1" t="s">
        <v>15</v>
      </c>
      <c r="E724" s="2" t="s">
        <v>1448</v>
      </c>
      <c r="F724" s="7" t="s">
        <v>1437</v>
      </c>
      <c r="G724" s="11">
        <v>2108</v>
      </c>
      <c r="H724" s="17">
        <f t="shared" si="50"/>
        <v>2213.4</v>
      </c>
      <c r="I724" s="17">
        <f t="shared" si="51"/>
        <v>2324.0700000000002</v>
      </c>
      <c r="J724" s="112">
        <f t="shared" si="52"/>
        <v>2509.9956000000002</v>
      </c>
      <c r="K724" s="112">
        <v>2509.9956000000002</v>
      </c>
      <c r="L724" s="17">
        <f t="shared" si="49"/>
        <v>1495.9573776</v>
      </c>
      <c r="M724" t="s">
        <v>3246</v>
      </c>
    </row>
    <row r="725" spans="1:17" x14ac:dyDescent="0.25">
      <c r="B725" s="6" t="s">
        <v>1371</v>
      </c>
      <c r="C725" s="7" t="s">
        <v>1375</v>
      </c>
      <c r="D725" s="1" t="s">
        <v>16</v>
      </c>
      <c r="E725" s="2" t="s">
        <v>1444</v>
      </c>
      <c r="F725" s="7" t="s">
        <v>1377</v>
      </c>
      <c r="G725" s="11">
        <v>2121</v>
      </c>
      <c r="H725" s="17">
        <f t="shared" si="50"/>
        <v>2227.0500000000002</v>
      </c>
      <c r="I725" s="17">
        <f t="shared" si="51"/>
        <v>2338.4025000000001</v>
      </c>
      <c r="J725" s="112">
        <f t="shared" si="52"/>
        <v>2525.4747000000002</v>
      </c>
      <c r="K725" s="112">
        <v>2525.4747000000002</v>
      </c>
      <c r="L725" s="17">
        <f t="shared" si="49"/>
        <v>1505.1829212</v>
      </c>
      <c r="M725" t="s">
        <v>3246</v>
      </c>
    </row>
    <row r="726" spans="1:17" x14ac:dyDescent="0.25">
      <c r="B726" s="6" t="s">
        <v>1372</v>
      </c>
      <c r="C726" s="7" t="s">
        <v>1376</v>
      </c>
      <c r="D726" s="1" t="s">
        <v>16</v>
      </c>
      <c r="E726" s="2" t="s">
        <v>1447</v>
      </c>
      <c r="F726" s="7" t="s">
        <v>1437</v>
      </c>
      <c r="G726" s="11">
        <v>2121</v>
      </c>
      <c r="H726" s="17">
        <f t="shared" si="50"/>
        <v>2227.0500000000002</v>
      </c>
      <c r="I726" s="17">
        <f t="shared" si="51"/>
        <v>2338.4025000000001</v>
      </c>
      <c r="J726" s="112">
        <f t="shared" si="52"/>
        <v>2525.4747000000002</v>
      </c>
      <c r="K726" s="112">
        <v>2525.4747000000002</v>
      </c>
      <c r="L726" s="17">
        <f t="shared" si="49"/>
        <v>1505.1829212</v>
      </c>
      <c r="M726" t="s">
        <v>3246</v>
      </c>
    </row>
    <row r="727" spans="1:17" x14ac:dyDescent="0.25">
      <c r="B727" s="6" t="s">
        <v>1373</v>
      </c>
      <c r="C727" s="7" t="s">
        <v>1375</v>
      </c>
      <c r="D727" s="1" t="s">
        <v>18</v>
      </c>
      <c r="E727" s="2" t="s">
        <v>1445</v>
      </c>
      <c r="F727" s="7" t="s">
        <v>1377</v>
      </c>
      <c r="G727" s="11">
        <v>2441</v>
      </c>
      <c r="H727" s="17">
        <f t="shared" si="50"/>
        <v>2563.0500000000002</v>
      </c>
      <c r="I727" s="17">
        <f t="shared" si="51"/>
        <v>2691.2025000000003</v>
      </c>
      <c r="J727" s="112">
        <f t="shared" si="52"/>
        <v>2906.4987000000006</v>
      </c>
      <c r="K727" s="112">
        <v>2906.4987000000006</v>
      </c>
      <c r="L727" s="17">
        <f t="shared" si="49"/>
        <v>1732.2732252000003</v>
      </c>
      <c r="M727" t="s">
        <v>3246</v>
      </c>
    </row>
    <row r="728" spans="1:17" x14ac:dyDescent="0.25">
      <c r="B728" s="6" t="s">
        <v>1374</v>
      </c>
      <c r="C728" s="7" t="s">
        <v>1376</v>
      </c>
      <c r="D728" s="1" t="s">
        <v>18</v>
      </c>
      <c r="E728" s="2" t="s">
        <v>1446</v>
      </c>
      <c r="F728" s="7" t="s">
        <v>1437</v>
      </c>
      <c r="G728" s="11">
        <v>2441</v>
      </c>
      <c r="H728" s="17">
        <f t="shared" si="50"/>
        <v>2563.0500000000002</v>
      </c>
      <c r="I728" s="17">
        <f t="shared" si="51"/>
        <v>2691.2025000000003</v>
      </c>
      <c r="J728" s="112">
        <f t="shared" si="52"/>
        <v>2906.4987000000006</v>
      </c>
      <c r="K728" s="112">
        <v>2906.4987000000006</v>
      </c>
      <c r="L728" s="17">
        <f t="shared" si="49"/>
        <v>1732.2732252000003</v>
      </c>
      <c r="M728" t="s">
        <v>3246</v>
      </c>
    </row>
    <row r="729" spans="1:17" s="62" customFormat="1" x14ac:dyDescent="0.25">
      <c r="A729" s="62" t="s">
        <v>2927</v>
      </c>
      <c r="B729" s="75" t="s">
        <v>2901</v>
      </c>
      <c r="C729" s="63"/>
      <c r="D729" s="63"/>
      <c r="E729" s="64"/>
      <c r="F729" s="63"/>
      <c r="G729" s="65"/>
      <c r="H729" s="17"/>
      <c r="I729" s="17">
        <f t="shared" si="51"/>
        <v>0</v>
      </c>
      <c r="J729" s="113"/>
      <c r="K729" s="70"/>
      <c r="L729" s="70"/>
    </row>
    <row r="730" spans="1:17" x14ac:dyDescent="0.25">
      <c r="A730" s="4"/>
      <c r="B730" s="6" t="s">
        <v>1378</v>
      </c>
      <c r="C730" s="7" t="s">
        <v>1407</v>
      </c>
      <c r="D730" s="1" t="s">
        <v>5</v>
      </c>
      <c r="E730" s="2" t="s">
        <v>1409</v>
      </c>
      <c r="F730" s="7" t="s">
        <v>1458</v>
      </c>
      <c r="G730" s="11">
        <v>1971</v>
      </c>
      <c r="H730" s="17">
        <f t="shared" si="50"/>
        <v>2069.5500000000002</v>
      </c>
      <c r="I730" s="17">
        <f t="shared" si="51"/>
        <v>2173.0275000000001</v>
      </c>
      <c r="J730" s="112">
        <f t="shared" si="52"/>
        <v>2346.8697000000002</v>
      </c>
      <c r="K730" s="112">
        <v>2346.8697000000002</v>
      </c>
      <c r="L730" s="17">
        <f t="shared" si="49"/>
        <v>1398.7343412</v>
      </c>
      <c r="M730" t="s">
        <v>3246</v>
      </c>
      <c r="O730" s="54"/>
      <c r="Q730" s="54"/>
    </row>
    <row r="731" spans="1:17" x14ac:dyDescent="0.25">
      <c r="A731" s="2" t="s">
        <v>2933</v>
      </c>
      <c r="B731" s="6" t="s">
        <v>1379</v>
      </c>
      <c r="C731" s="7" t="s">
        <v>1408</v>
      </c>
      <c r="D731" s="1" t="s">
        <v>5</v>
      </c>
      <c r="E731" s="2" t="s">
        <v>1421</v>
      </c>
      <c r="F731" s="7" t="s">
        <v>1459</v>
      </c>
      <c r="G731" s="11">
        <v>1971</v>
      </c>
      <c r="H731" s="17">
        <f t="shared" si="50"/>
        <v>2069.5500000000002</v>
      </c>
      <c r="I731" s="17">
        <f t="shared" si="51"/>
        <v>2173.0275000000001</v>
      </c>
      <c r="J731" s="112">
        <f t="shared" si="52"/>
        <v>2346.8697000000002</v>
      </c>
      <c r="K731" s="112">
        <v>2346.8697000000002</v>
      </c>
      <c r="L731" s="17">
        <f t="shared" si="49"/>
        <v>1398.7343412</v>
      </c>
      <c r="M731" t="s">
        <v>3246</v>
      </c>
    </row>
    <row r="732" spans="1:17" x14ac:dyDescent="0.25">
      <c r="B732" s="6" t="s">
        <v>1380</v>
      </c>
      <c r="C732" s="7" t="s">
        <v>1407</v>
      </c>
      <c r="D732" s="1" t="s">
        <v>6</v>
      </c>
      <c r="E732" s="2" t="s">
        <v>1410</v>
      </c>
      <c r="F732" s="7" t="s">
        <v>1458</v>
      </c>
      <c r="G732" s="11">
        <v>2023</v>
      </c>
      <c r="H732" s="17">
        <f t="shared" si="50"/>
        <v>2124.15</v>
      </c>
      <c r="I732" s="17">
        <f t="shared" si="51"/>
        <v>2230.3575000000001</v>
      </c>
      <c r="J732" s="112">
        <f t="shared" si="52"/>
        <v>2408.7861000000003</v>
      </c>
      <c r="K732" s="112">
        <v>2408.7861000000003</v>
      </c>
      <c r="L732" s="17">
        <f t="shared" si="49"/>
        <v>1435.6365156000002</v>
      </c>
      <c r="M732" t="s">
        <v>3246</v>
      </c>
    </row>
    <row r="733" spans="1:17" x14ac:dyDescent="0.25">
      <c r="B733" s="6" t="s">
        <v>1381</v>
      </c>
      <c r="C733" s="7" t="s">
        <v>1408</v>
      </c>
      <c r="D733" s="1" t="s">
        <v>6</v>
      </c>
      <c r="E733" s="2" t="s">
        <v>1422</v>
      </c>
      <c r="F733" s="7" t="s">
        <v>1460</v>
      </c>
      <c r="G733" s="11">
        <v>2023</v>
      </c>
      <c r="H733" s="17">
        <f t="shared" si="50"/>
        <v>2124.15</v>
      </c>
      <c r="I733" s="17">
        <f t="shared" si="51"/>
        <v>2230.3575000000001</v>
      </c>
      <c r="J733" s="112">
        <f t="shared" si="52"/>
        <v>2408.7861000000003</v>
      </c>
      <c r="K733" s="112">
        <v>2408.7861000000003</v>
      </c>
      <c r="L733" s="17">
        <f t="shared" si="49"/>
        <v>1435.6365156000002</v>
      </c>
      <c r="M733" t="s">
        <v>3246</v>
      </c>
    </row>
    <row r="734" spans="1:17" x14ac:dyDescent="0.25">
      <c r="B734" s="6" t="s">
        <v>1382</v>
      </c>
      <c r="C734" s="7" t="s">
        <v>1407</v>
      </c>
      <c r="D734" s="1" t="s">
        <v>7</v>
      </c>
      <c r="E734" s="2" t="s">
        <v>1411</v>
      </c>
      <c r="F734" s="7" t="s">
        <v>1458</v>
      </c>
      <c r="G734" s="11">
        <v>2071</v>
      </c>
      <c r="H734" s="17">
        <f t="shared" si="50"/>
        <v>2174.5500000000002</v>
      </c>
      <c r="I734" s="17">
        <f t="shared" si="51"/>
        <v>2283.2775000000001</v>
      </c>
      <c r="J734" s="112">
        <f t="shared" si="52"/>
        <v>2465.9397000000004</v>
      </c>
      <c r="K734" s="112">
        <v>2465.9397000000004</v>
      </c>
      <c r="L734" s="17">
        <f t="shared" si="49"/>
        <v>1469.7000612000002</v>
      </c>
      <c r="M734" t="s">
        <v>3246</v>
      </c>
    </row>
    <row r="735" spans="1:17" x14ac:dyDescent="0.25">
      <c r="B735" s="6" t="s">
        <v>1383</v>
      </c>
      <c r="C735" s="7" t="s">
        <v>1408</v>
      </c>
      <c r="D735" s="1" t="s">
        <v>7</v>
      </c>
      <c r="E735" s="2" t="s">
        <v>1423</v>
      </c>
      <c r="F735" s="7" t="s">
        <v>1460</v>
      </c>
      <c r="G735" s="11">
        <v>2071</v>
      </c>
      <c r="H735" s="17">
        <f t="shared" si="50"/>
        <v>2174.5500000000002</v>
      </c>
      <c r="I735" s="17">
        <f t="shared" si="51"/>
        <v>2283.2775000000001</v>
      </c>
      <c r="J735" s="112">
        <f t="shared" si="52"/>
        <v>2465.9397000000004</v>
      </c>
      <c r="K735" s="112">
        <v>2465.9397000000004</v>
      </c>
      <c r="L735" s="17">
        <f t="shared" si="49"/>
        <v>1469.7000612000002</v>
      </c>
      <c r="M735" t="s">
        <v>3246</v>
      </c>
    </row>
    <row r="736" spans="1:17" x14ac:dyDescent="0.25">
      <c r="B736" s="6" t="s">
        <v>1384</v>
      </c>
      <c r="C736" s="7" t="s">
        <v>1407</v>
      </c>
      <c r="D736" s="1" t="s">
        <v>8</v>
      </c>
      <c r="E736" s="2" t="s">
        <v>1412</v>
      </c>
      <c r="F736" s="7" t="s">
        <v>1458</v>
      </c>
      <c r="G736" s="11">
        <v>2129</v>
      </c>
      <c r="H736" s="17">
        <f t="shared" si="50"/>
        <v>2235.4500000000003</v>
      </c>
      <c r="I736" s="17">
        <f t="shared" si="51"/>
        <v>2347.2225000000003</v>
      </c>
      <c r="J736" s="112">
        <f t="shared" si="52"/>
        <v>2535.0003000000006</v>
      </c>
      <c r="K736" s="112">
        <v>2535.0003000000006</v>
      </c>
      <c r="L736" s="17">
        <f t="shared" si="49"/>
        <v>1510.8601788000003</v>
      </c>
      <c r="M736" t="s">
        <v>3246</v>
      </c>
    </row>
    <row r="737" spans="2:13" x14ac:dyDescent="0.25">
      <c r="B737" s="6" t="s">
        <v>1385</v>
      </c>
      <c r="C737" s="7" t="s">
        <v>1408</v>
      </c>
      <c r="D737" s="1" t="s">
        <v>8</v>
      </c>
      <c r="E737" s="2" t="s">
        <v>1424</v>
      </c>
      <c r="F737" s="7" t="s">
        <v>1460</v>
      </c>
      <c r="G737" s="11">
        <v>2129</v>
      </c>
      <c r="H737" s="17">
        <f t="shared" si="50"/>
        <v>2235.4500000000003</v>
      </c>
      <c r="I737" s="17">
        <f t="shared" si="51"/>
        <v>2347.2225000000003</v>
      </c>
      <c r="J737" s="112">
        <f t="shared" si="52"/>
        <v>2535.0003000000006</v>
      </c>
      <c r="K737" s="112">
        <v>2535.0003000000006</v>
      </c>
      <c r="L737" s="17">
        <f t="shared" si="49"/>
        <v>1510.8601788000003</v>
      </c>
      <c r="M737" t="s">
        <v>3246</v>
      </c>
    </row>
    <row r="738" spans="2:13" x14ac:dyDescent="0.25">
      <c r="B738" s="6" t="s">
        <v>1386</v>
      </c>
      <c r="C738" s="7" t="s">
        <v>1407</v>
      </c>
      <c r="D738" s="1" t="s">
        <v>9</v>
      </c>
      <c r="E738" s="2" t="s">
        <v>1413</v>
      </c>
      <c r="F738" s="7" t="s">
        <v>1458</v>
      </c>
      <c r="G738" s="11">
        <v>2180</v>
      </c>
      <c r="H738" s="17">
        <f t="shared" si="50"/>
        <v>2289</v>
      </c>
      <c r="I738" s="17">
        <f t="shared" si="51"/>
        <v>2403.4500000000003</v>
      </c>
      <c r="J738" s="112">
        <f t="shared" si="52"/>
        <v>2595.7260000000006</v>
      </c>
      <c r="K738" s="112">
        <v>2595.7260000000006</v>
      </c>
      <c r="L738" s="17">
        <f t="shared" si="49"/>
        <v>1547.0526960000002</v>
      </c>
      <c r="M738" t="s">
        <v>3246</v>
      </c>
    </row>
    <row r="739" spans="2:13" x14ac:dyDescent="0.25">
      <c r="B739" s="6" t="s">
        <v>1387</v>
      </c>
      <c r="C739" s="7" t="s">
        <v>1408</v>
      </c>
      <c r="D739" s="1" t="s">
        <v>9</v>
      </c>
      <c r="E739" s="2" t="s">
        <v>1425</v>
      </c>
      <c r="F739" s="7" t="s">
        <v>1460</v>
      </c>
      <c r="G739" s="11">
        <v>2180</v>
      </c>
      <c r="H739" s="17">
        <f t="shared" si="50"/>
        <v>2289</v>
      </c>
      <c r="I739" s="17">
        <f t="shared" si="51"/>
        <v>2403.4500000000003</v>
      </c>
      <c r="J739" s="112">
        <f t="shared" si="52"/>
        <v>2595.7260000000006</v>
      </c>
      <c r="K739" s="112">
        <v>2595.7260000000006</v>
      </c>
      <c r="L739" s="17">
        <f t="shared" si="49"/>
        <v>1547.0526960000002</v>
      </c>
      <c r="M739" t="s">
        <v>3246</v>
      </c>
    </row>
    <row r="740" spans="2:13" x14ac:dyDescent="0.25">
      <c r="B740" s="6" t="s">
        <v>1388</v>
      </c>
      <c r="C740" s="7" t="s">
        <v>1407</v>
      </c>
      <c r="D740" s="1" t="s">
        <v>11</v>
      </c>
      <c r="E740" s="2" t="s">
        <v>1414</v>
      </c>
      <c r="F740" s="7" t="s">
        <v>1458</v>
      </c>
      <c r="G740" s="11">
        <v>2296</v>
      </c>
      <c r="H740" s="17">
        <f t="shared" si="50"/>
        <v>2410.8000000000002</v>
      </c>
      <c r="I740" s="17">
        <f t="shared" si="51"/>
        <v>2531.34</v>
      </c>
      <c r="J740" s="112">
        <f t="shared" si="52"/>
        <v>2733.8472000000002</v>
      </c>
      <c r="K740" s="112">
        <v>2733.8472000000002</v>
      </c>
      <c r="L740" s="17">
        <f t="shared" si="49"/>
        <v>1629.3729312</v>
      </c>
      <c r="M740" t="s">
        <v>3246</v>
      </c>
    </row>
    <row r="741" spans="2:13" x14ac:dyDescent="0.25">
      <c r="B741" s="6" t="s">
        <v>1389</v>
      </c>
      <c r="C741" s="7" t="s">
        <v>1408</v>
      </c>
      <c r="D741" s="1" t="s">
        <v>11</v>
      </c>
      <c r="E741" s="2" t="s">
        <v>1426</v>
      </c>
      <c r="F741" s="7" t="s">
        <v>1460</v>
      </c>
      <c r="G741" s="11">
        <v>2296</v>
      </c>
      <c r="H741" s="17">
        <f t="shared" si="50"/>
        <v>2410.8000000000002</v>
      </c>
      <c r="I741" s="17">
        <f t="shared" si="51"/>
        <v>2531.34</v>
      </c>
      <c r="J741" s="112">
        <f t="shared" si="52"/>
        <v>2733.8472000000002</v>
      </c>
      <c r="K741" s="112">
        <v>2733.8472000000002</v>
      </c>
      <c r="L741" s="17">
        <f t="shared" si="49"/>
        <v>1629.3729312</v>
      </c>
      <c r="M741" t="s">
        <v>3246</v>
      </c>
    </row>
    <row r="742" spans="2:13" x14ac:dyDescent="0.25">
      <c r="B742" s="6" t="s">
        <v>1390</v>
      </c>
      <c r="C742" s="7" t="s">
        <v>1407</v>
      </c>
      <c r="D742" s="1" t="s">
        <v>13</v>
      </c>
      <c r="E742" s="2" t="s">
        <v>1415</v>
      </c>
      <c r="F742" s="7" t="s">
        <v>1458</v>
      </c>
      <c r="G742" s="11">
        <v>1982</v>
      </c>
      <c r="H742" s="17">
        <f t="shared" si="50"/>
        <v>2081.1</v>
      </c>
      <c r="I742" s="17">
        <f t="shared" si="51"/>
        <v>2185.1550000000002</v>
      </c>
      <c r="J742" s="112">
        <f t="shared" si="52"/>
        <v>2359.9674000000005</v>
      </c>
      <c r="K742" s="112">
        <v>2359.9674000000005</v>
      </c>
      <c r="L742" s="17">
        <f t="shared" si="49"/>
        <v>1406.5405704000002</v>
      </c>
      <c r="M742" t="s">
        <v>3246</v>
      </c>
    </row>
    <row r="743" spans="2:13" x14ac:dyDescent="0.25">
      <c r="B743" s="6" t="s">
        <v>1391</v>
      </c>
      <c r="C743" s="7" t="s">
        <v>1408</v>
      </c>
      <c r="D743" s="1" t="s">
        <v>13</v>
      </c>
      <c r="E743" s="2" t="s">
        <v>1427</v>
      </c>
      <c r="F743" s="7" t="s">
        <v>1460</v>
      </c>
      <c r="G743" s="11">
        <v>1982</v>
      </c>
      <c r="H743" s="17">
        <f t="shared" si="50"/>
        <v>2081.1</v>
      </c>
      <c r="I743" s="17">
        <f t="shared" si="51"/>
        <v>2185.1550000000002</v>
      </c>
      <c r="J743" s="112">
        <f t="shared" si="52"/>
        <v>2359.9674000000005</v>
      </c>
      <c r="K743" s="112">
        <v>2359.9674000000005</v>
      </c>
      <c r="L743" s="17">
        <f t="shared" si="49"/>
        <v>1406.5405704000002</v>
      </c>
      <c r="M743" t="s">
        <v>3246</v>
      </c>
    </row>
    <row r="744" spans="2:13" x14ac:dyDescent="0.25">
      <c r="B744" s="6" t="s">
        <v>1392</v>
      </c>
      <c r="C744" s="7" t="s">
        <v>1407</v>
      </c>
      <c r="D744" s="1" t="s">
        <v>21</v>
      </c>
      <c r="E744" s="2" t="s">
        <v>1416</v>
      </c>
      <c r="F744" s="7" t="s">
        <v>1458</v>
      </c>
      <c r="G744" s="11">
        <v>2036</v>
      </c>
      <c r="H744" s="17">
        <f t="shared" si="50"/>
        <v>2137.8000000000002</v>
      </c>
      <c r="I744" s="17">
        <f t="shared" si="51"/>
        <v>2244.6900000000005</v>
      </c>
      <c r="J744" s="112">
        <f t="shared" si="52"/>
        <v>2424.2652000000007</v>
      </c>
      <c r="K744" s="112">
        <v>2424.2652000000007</v>
      </c>
      <c r="L744" s="17">
        <f t="shared" si="49"/>
        <v>1444.8620592000004</v>
      </c>
      <c r="M744" t="s">
        <v>3246</v>
      </c>
    </row>
    <row r="745" spans="2:13" x14ac:dyDescent="0.25">
      <c r="B745" s="6" t="s">
        <v>1393</v>
      </c>
      <c r="C745" s="7" t="s">
        <v>1408</v>
      </c>
      <c r="D745" s="1" t="s">
        <v>21</v>
      </c>
      <c r="E745" s="2" t="s">
        <v>1428</v>
      </c>
      <c r="F745" s="7" t="s">
        <v>1460</v>
      </c>
      <c r="G745" s="11">
        <v>2036</v>
      </c>
      <c r="H745" s="17">
        <f t="shared" si="50"/>
        <v>2137.8000000000002</v>
      </c>
      <c r="I745" s="17">
        <f t="shared" si="51"/>
        <v>2244.6900000000005</v>
      </c>
      <c r="J745" s="112">
        <f t="shared" si="52"/>
        <v>2424.2652000000007</v>
      </c>
      <c r="K745" s="112">
        <v>2424.2652000000007</v>
      </c>
      <c r="L745" s="17">
        <f t="shared" si="49"/>
        <v>1444.8620592000004</v>
      </c>
      <c r="M745" t="s">
        <v>3246</v>
      </c>
    </row>
    <row r="746" spans="2:13" x14ac:dyDescent="0.25">
      <c r="B746" s="6" t="s">
        <v>1394</v>
      </c>
      <c r="C746" s="7" t="s">
        <v>1407</v>
      </c>
      <c r="D746" s="1" t="s">
        <v>14</v>
      </c>
      <c r="E746" s="2" t="s">
        <v>1417</v>
      </c>
      <c r="F746" s="7" t="s">
        <v>1458</v>
      </c>
      <c r="G746" s="11">
        <v>2090</v>
      </c>
      <c r="H746" s="17">
        <f t="shared" si="50"/>
        <v>2194.5</v>
      </c>
      <c r="I746" s="17">
        <f t="shared" si="51"/>
        <v>2304.2249999999999</v>
      </c>
      <c r="J746" s="112">
        <f t="shared" si="52"/>
        <v>2488.5630000000001</v>
      </c>
      <c r="K746" s="112">
        <v>2488.5630000000001</v>
      </c>
      <c r="L746" s="17">
        <f t="shared" si="49"/>
        <v>1483.183548</v>
      </c>
      <c r="M746" t="s">
        <v>3246</v>
      </c>
    </row>
    <row r="747" spans="2:13" x14ac:dyDescent="0.25">
      <c r="B747" s="6" t="s">
        <v>1395</v>
      </c>
      <c r="C747" s="7" t="s">
        <v>1408</v>
      </c>
      <c r="D747" s="1" t="s">
        <v>14</v>
      </c>
      <c r="E747" s="2" t="s">
        <v>1429</v>
      </c>
      <c r="F747" s="7" t="s">
        <v>1459</v>
      </c>
      <c r="G747" s="11">
        <v>2090</v>
      </c>
      <c r="H747" s="17">
        <f t="shared" si="50"/>
        <v>2194.5</v>
      </c>
      <c r="I747" s="17">
        <f t="shared" si="51"/>
        <v>2304.2249999999999</v>
      </c>
      <c r="J747" s="112">
        <f t="shared" si="52"/>
        <v>2488.5630000000001</v>
      </c>
      <c r="K747" s="112">
        <v>2488.5630000000001</v>
      </c>
      <c r="L747" s="17">
        <f t="shared" si="49"/>
        <v>1483.183548</v>
      </c>
      <c r="M747" t="s">
        <v>3246</v>
      </c>
    </row>
    <row r="748" spans="2:13" x14ac:dyDescent="0.25">
      <c r="B748" s="6" t="s">
        <v>1396</v>
      </c>
      <c r="C748" s="7" t="s">
        <v>1407</v>
      </c>
      <c r="D748" s="1" t="s">
        <v>15</v>
      </c>
      <c r="E748" s="2" t="s">
        <v>1418</v>
      </c>
      <c r="F748" s="7" t="s">
        <v>1458</v>
      </c>
      <c r="G748" s="11">
        <v>2144</v>
      </c>
      <c r="H748" s="17">
        <f t="shared" si="50"/>
        <v>2251.2000000000003</v>
      </c>
      <c r="I748" s="17">
        <f t="shared" si="51"/>
        <v>2363.7600000000002</v>
      </c>
      <c r="J748" s="112">
        <f t="shared" si="52"/>
        <v>2552.8608000000004</v>
      </c>
      <c r="K748" s="112">
        <v>2552.8608000000004</v>
      </c>
      <c r="L748" s="17">
        <f t="shared" si="49"/>
        <v>1521.5050368000002</v>
      </c>
      <c r="M748" t="s">
        <v>3246</v>
      </c>
    </row>
    <row r="749" spans="2:13" x14ac:dyDescent="0.25">
      <c r="B749" s="6" t="s">
        <v>1397</v>
      </c>
      <c r="C749" s="7" t="s">
        <v>1408</v>
      </c>
      <c r="D749" s="1" t="s">
        <v>15</v>
      </c>
      <c r="E749" s="2" t="s">
        <v>1430</v>
      </c>
      <c r="F749" s="7" t="s">
        <v>1460</v>
      </c>
      <c r="G749" s="11">
        <v>2144</v>
      </c>
      <c r="H749" s="17">
        <f t="shared" si="50"/>
        <v>2251.2000000000003</v>
      </c>
      <c r="I749" s="17">
        <f t="shared" si="51"/>
        <v>2363.7600000000002</v>
      </c>
      <c r="J749" s="112">
        <f t="shared" si="52"/>
        <v>2552.8608000000004</v>
      </c>
      <c r="K749" s="112">
        <v>2552.8608000000004</v>
      </c>
      <c r="L749" s="17">
        <f t="shared" si="49"/>
        <v>1521.5050368000002</v>
      </c>
      <c r="M749" t="s">
        <v>3246</v>
      </c>
    </row>
    <row r="750" spans="2:13" x14ac:dyDescent="0.25">
      <c r="B750" s="6" t="s">
        <v>1398</v>
      </c>
      <c r="C750" s="7" t="s">
        <v>1407</v>
      </c>
      <c r="D750" s="1" t="s">
        <v>16</v>
      </c>
      <c r="E750" s="2" t="s">
        <v>1419</v>
      </c>
      <c r="F750" s="7" t="s">
        <v>1458</v>
      </c>
      <c r="G750" s="11">
        <v>2188</v>
      </c>
      <c r="H750" s="17">
        <f t="shared" si="50"/>
        <v>2297.4</v>
      </c>
      <c r="I750" s="17">
        <f t="shared" si="51"/>
        <v>2412.27</v>
      </c>
      <c r="J750" s="112">
        <f t="shared" si="52"/>
        <v>2605.2516000000001</v>
      </c>
      <c r="K750" s="112">
        <v>2605.2516000000001</v>
      </c>
      <c r="L750" s="17">
        <f t="shared" si="49"/>
        <v>1552.7299536</v>
      </c>
      <c r="M750" t="s">
        <v>3246</v>
      </c>
    </row>
    <row r="751" spans="2:13" x14ac:dyDescent="0.25">
      <c r="B751" s="6" t="s">
        <v>1399</v>
      </c>
      <c r="C751" s="7" t="s">
        <v>1408</v>
      </c>
      <c r="D751" s="1" t="s">
        <v>16</v>
      </c>
      <c r="E751" s="2" t="s">
        <v>1431</v>
      </c>
      <c r="F751" s="7" t="s">
        <v>1460</v>
      </c>
      <c r="G751" s="11">
        <v>2188</v>
      </c>
      <c r="H751" s="17">
        <f t="shared" si="50"/>
        <v>2297.4</v>
      </c>
      <c r="I751" s="17">
        <f t="shared" si="51"/>
        <v>2412.27</v>
      </c>
      <c r="J751" s="112">
        <f t="shared" si="52"/>
        <v>2605.2516000000001</v>
      </c>
      <c r="K751" s="112">
        <v>2605.2516000000001</v>
      </c>
      <c r="L751" s="17">
        <f t="shared" si="49"/>
        <v>1552.7299536</v>
      </c>
      <c r="M751" t="s">
        <v>3246</v>
      </c>
    </row>
    <row r="752" spans="2:13" x14ac:dyDescent="0.25">
      <c r="B752" s="6" t="s">
        <v>1400</v>
      </c>
      <c r="C752" s="7" t="s">
        <v>1407</v>
      </c>
      <c r="D752" s="1" t="s">
        <v>18</v>
      </c>
      <c r="E752" s="2" t="s">
        <v>1420</v>
      </c>
      <c r="F752" s="7" t="s">
        <v>1458</v>
      </c>
      <c r="G752" s="11">
        <v>2407</v>
      </c>
      <c r="H752" s="17">
        <f t="shared" si="50"/>
        <v>2527.35</v>
      </c>
      <c r="I752" s="17">
        <f t="shared" si="51"/>
        <v>2653.7175000000002</v>
      </c>
      <c r="J752" s="112">
        <f t="shared" si="52"/>
        <v>2866.0149000000006</v>
      </c>
      <c r="K752" s="112">
        <v>2866.0149000000006</v>
      </c>
      <c r="L752" s="17">
        <f t="shared" si="49"/>
        <v>1708.1448804000004</v>
      </c>
      <c r="M752" t="s">
        <v>3246</v>
      </c>
    </row>
    <row r="753" spans="1:13" x14ac:dyDescent="0.25">
      <c r="B753" s="6" t="s">
        <v>1401</v>
      </c>
      <c r="C753" s="7" t="s">
        <v>1408</v>
      </c>
      <c r="D753" s="1" t="s">
        <v>18</v>
      </c>
      <c r="E753" s="2" t="s">
        <v>1432</v>
      </c>
      <c r="F753" s="7" t="s">
        <v>1460</v>
      </c>
      <c r="G753" s="11">
        <v>2407</v>
      </c>
      <c r="H753" s="17">
        <f t="shared" si="50"/>
        <v>2527.35</v>
      </c>
      <c r="I753" s="17">
        <f t="shared" si="51"/>
        <v>2653.7175000000002</v>
      </c>
      <c r="J753" s="112">
        <f t="shared" si="52"/>
        <v>2866.0149000000006</v>
      </c>
      <c r="K753" s="112">
        <v>2866.0149000000006</v>
      </c>
      <c r="L753" s="17">
        <f t="shared" si="49"/>
        <v>1708.1448804000004</v>
      </c>
      <c r="M753" t="s">
        <v>3246</v>
      </c>
    </row>
    <row r="754" spans="1:13" s="62" customFormat="1" x14ac:dyDescent="0.25">
      <c r="A754" s="62" t="s">
        <v>2928</v>
      </c>
      <c r="B754" s="75" t="s">
        <v>2901</v>
      </c>
      <c r="C754" s="63"/>
      <c r="D754" s="63"/>
      <c r="E754" s="64"/>
      <c r="F754" s="63"/>
      <c r="G754" s="65"/>
      <c r="H754" s="17"/>
      <c r="I754" s="17">
        <f t="shared" si="51"/>
        <v>0</v>
      </c>
      <c r="J754" s="113"/>
      <c r="K754" s="70"/>
      <c r="L754" s="70"/>
    </row>
    <row r="755" spans="1:13" x14ac:dyDescent="0.25">
      <c r="A755" s="4"/>
      <c r="B755" s="6" t="s">
        <v>1467</v>
      </c>
      <c r="C755" s="7" t="s">
        <v>1465</v>
      </c>
      <c r="D755" s="1" t="s">
        <v>7</v>
      </c>
      <c r="E755" s="2" t="s">
        <v>1487</v>
      </c>
      <c r="F755" s="7" t="s">
        <v>1461</v>
      </c>
      <c r="G755" s="11">
        <v>1783</v>
      </c>
      <c r="H755" s="17">
        <f t="shared" si="50"/>
        <v>1872.15</v>
      </c>
      <c r="I755" s="17">
        <f t="shared" si="51"/>
        <v>1965.7575000000002</v>
      </c>
      <c r="J755" s="112">
        <f t="shared" si="52"/>
        <v>2123.0181000000002</v>
      </c>
      <c r="K755" s="112">
        <v>2123.0181000000002</v>
      </c>
      <c r="L755" s="17">
        <f t="shared" si="49"/>
        <v>1265.3187876000002</v>
      </c>
      <c r="M755" t="s">
        <v>3246</v>
      </c>
    </row>
    <row r="756" spans="1:13" x14ac:dyDescent="0.25">
      <c r="A756" s="2" t="s">
        <v>2932</v>
      </c>
      <c r="B756" s="6" t="s">
        <v>1468</v>
      </c>
      <c r="C756" s="7" t="s">
        <v>1466</v>
      </c>
      <c r="D756" s="1" t="s">
        <v>7</v>
      </c>
      <c r="E756" s="2" t="s">
        <v>1497</v>
      </c>
      <c r="F756" s="7" t="s">
        <v>1462</v>
      </c>
      <c r="G756" s="11">
        <v>1783</v>
      </c>
      <c r="H756" s="17">
        <f t="shared" si="50"/>
        <v>1872.15</v>
      </c>
      <c r="I756" s="17">
        <f t="shared" si="51"/>
        <v>1965.7575000000002</v>
      </c>
      <c r="J756" s="112">
        <f t="shared" si="52"/>
        <v>2123.0181000000002</v>
      </c>
      <c r="K756" s="112">
        <v>2123.0181000000002</v>
      </c>
      <c r="L756" s="17">
        <f t="shared" si="49"/>
        <v>1265.3187876000002</v>
      </c>
      <c r="M756" t="s">
        <v>3246</v>
      </c>
    </row>
    <row r="757" spans="1:13" x14ac:dyDescent="0.25">
      <c r="B757" s="6" t="s">
        <v>1469</v>
      </c>
      <c r="C757" s="7" t="s">
        <v>1465</v>
      </c>
      <c r="D757" s="1" t="s">
        <v>8</v>
      </c>
      <c r="E757" s="2" t="s">
        <v>1488</v>
      </c>
      <c r="F757" s="7" t="s">
        <v>1461</v>
      </c>
      <c r="G757" s="11">
        <v>1827</v>
      </c>
      <c r="H757" s="17">
        <f t="shared" si="50"/>
        <v>1918.3500000000001</v>
      </c>
      <c r="I757" s="17">
        <f t="shared" si="51"/>
        <v>2014.2675000000002</v>
      </c>
      <c r="J757" s="112">
        <f t="shared" si="52"/>
        <v>2175.4089000000004</v>
      </c>
      <c r="K757" s="112">
        <v>2175.4089000000004</v>
      </c>
      <c r="L757" s="17">
        <f t="shared" si="49"/>
        <v>1296.5437044000003</v>
      </c>
      <c r="M757" t="s">
        <v>3246</v>
      </c>
    </row>
    <row r="758" spans="1:13" x14ac:dyDescent="0.25">
      <c r="B758" s="6" t="s">
        <v>1470</v>
      </c>
      <c r="C758" s="7" t="s">
        <v>1466</v>
      </c>
      <c r="D758" s="1" t="s">
        <v>8</v>
      </c>
      <c r="E758" s="2" t="s">
        <v>1498</v>
      </c>
      <c r="F758" s="7" t="s">
        <v>1462</v>
      </c>
      <c r="G758" s="11">
        <v>1827</v>
      </c>
      <c r="H758" s="17">
        <f t="shared" si="50"/>
        <v>1918.3500000000001</v>
      </c>
      <c r="I758" s="17">
        <f t="shared" si="51"/>
        <v>2014.2675000000002</v>
      </c>
      <c r="J758" s="112">
        <f t="shared" si="52"/>
        <v>2175.4089000000004</v>
      </c>
      <c r="K758" s="112">
        <v>2175.4089000000004</v>
      </c>
      <c r="L758" s="17">
        <f t="shared" si="49"/>
        <v>1296.5437044000003</v>
      </c>
      <c r="M758" t="s">
        <v>3246</v>
      </c>
    </row>
    <row r="759" spans="1:13" x14ac:dyDescent="0.25">
      <c r="B759" s="6" t="s">
        <v>1471</v>
      </c>
      <c r="C759" s="7" t="s">
        <v>1465</v>
      </c>
      <c r="D759" s="1" t="s">
        <v>9</v>
      </c>
      <c r="E759" s="2" t="s">
        <v>1489</v>
      </c>
      <c r="F759" s="7" t="s">
        <v>1461</v>
      </c>
      <c r="G759" s="11">
        <v>1910</v>
      </c>
      <c r="H759" s="17">
        <f t="shared" si="50"/>
        <v>2005.5</v>
      </c>
      <c r="I759" s="17">
        <f t="shared" si="51"/>
        <v>2105.7750000000001</v>
      </c>
      <c r="J759" s="112">
        <f t="shared" si="52"/>
        <v>2274.2370000000001</v>
      </c>
      <c r="K759" s="112">
        <v>2274.2370000000001</v>
      </c>
      <c r="L759" s="17">
        <f t="shared" si="49"/>
        <v>1355.445252</v>
      </c>
      <c r="M759" t="s">
        <v>3246</v>
      </c>
    </row>
    <row r="760" spans="1:13" x14ac:dyDescent="0.25">
      <c r="B760" s="6" t="s">
        <v>1472</v>
      </c>
      <c r="C760" s="7" t="s">
        <v>1466</v>
      </c>
      <c r="D760" s="1" t="s">
        <v>9</v>
      </c>
      <c r="E760" s="2" t="s">
        <v>1499</v>
      </c>
      <c r="F760" s="7" t="s">
        <v>1462</v>
      </c>
      <c r="G760" s="11">
        <v>1910</v>
      </c>
      <c r="H760" s="17">
        <f t="shared" si="50"/>
        <v>2005.5</v>
      </c>
      <c r="I760" s="17">
        <f t="shared" si="51"/>
        <v>2105.7750000000001</v>
      </c>
      <c r="J760" s="112">
        <f t="shared" si="52"/>
        <v>2274.2370000000001</v>
      </c>
      <c r="K760" s="112">
        <v>2274.2370000000001</v>
      </c>
      <c r="L760" s="17">
        <f t="shared" si="49"/>
        <v>1355.445252</v>
      </c>
      <c r="M760" t="s">
        <v>3246</v>
      </c>
    </row>
    <row r="761" spans="1:13" x14ac:dyDescent="0.25">
      <c r="B761" s="6" t="s">
        <v>1473</v>
      </c>
      <c r="C761" s="7" t="s">
        <v>1465</v>
      </c>
      <c r="D761" s="1" t="s">
        <v>11</v>
      </c>
      <c r="E761" s="2" t="s">
        <v>1490</v>
      </c>
      <c r="F761" s="7" t="s">
        <v>1461</v>
      </c>
      <c r="G761" s="11">
        <v>1998</v>
      </c>
      <c r="H761" s="17">
        <f t="shared" si="50"/>
        <v>2097.9</v>
      </c>
      <c r="I761" s="17">
        <f t="shared" si="51"/>
        <v>2202.7950000000001</v>
      </c>
      <c r="J761" s="112">
        <f t="shared" si="52"/>
        <v>2379.0186000000003</v>
      </c>
      <c r="K761" s="112">
        <v>2379.0186000000003</v>
      </c>
      <c r="L761" s="17">
        <f t="shared" si="49"/>
        <v>1417.8950856000001</v>
      </c>
      <c r="M761" t="s">
        <v>3246</v>
      </c>
    </row>
    <row r="762" spans="1:13" x14ac:dyDescent="0.25">
      <c r="B762" s="6" t="s">
        <v>1474</v>
      </c>
      <c r="C762" s="7" t="s">
        <v>1466</v>
      </c>
      <c r="D762" s="1" t="s">
        <v>11</v>
      </c>
      <c r="E762" s="2" t="s">
        <v>1500</v>
      </c>
      <c r="F762" s="7" t="s">
        <v>1462</v>
      </c>
      <c r="G762" s="11">
        <v>1998</v>
      </c>
      <c r="H762" s="17">
        <f t="shared" si="50"/>
        <v>2097.9</v>
      </c>
      <c r="I762" s="17">
        <f t="shared" si="51"/>
        <v>2202.7950000000001</v>
      </c>
      <c r="J762" s="112">
        <f t="shared" si="52"/>
        <v>2379.0186000000003</v>
      </c>
      <c r="K762" s="112">
        <v>2379.0186000000003</v>
      </c>
      <c r="L762" s="17">
        <f t="shared" si="49"/>
        <v>1417.8950856000001</v>
      </c>
      <c r="M762" t="s">
        <v>3246</v>
      </c>
    </row>
    <row r="763" spans="1:13" x14ac:dyDescent="0.25">
      <c r="B763" s="6" t="s">
        <v>1475</v>
      </c>
      <c r="C763" s="7" t="s">
        <v>1465</v>
      </c>
      <c r="D763" s="1" t="s">
        <v>13</v>
      </c>
      <c r="E763" s="2" t="s">
        <v>1491</v>
      </c>
      <c r="F763" s="7" t="s">
        <v>1463</v>
      </c>
      <c r="G763" s="11">
        <v>1770</v>
      </c>
      <c r="H763" s="17">
        <f t="shared" si="50"/>
        <v>1858.5</v>
      </c>
      <c r="I763" s="17">
        <f t="shared" si="51"/>
        <v>1951.4250000000002</v>
      </c>
      <c r="J763" s="112">
        <f t="shared" si="52"/>
        <v>2107.5390000000002</v>
      </c>
      <c r="K763" s="112">
        <v>2107.5390000000002</v>
      </c>
      <c r="L763" s="17">
        <f t="shared" si="49"/>
        <v>1256.0932440000001</v>
      </c>
      <c r="M763" t="s">
        <v>3246</v>
      </c>
    </row>
    <row r="764" spans="1:13" x14ac:dyDescent="0.25">
      <c r="B764" s="6" t="s">
        <v>1476</v>
      </c>
      <c r="C764" s="7" t="s">
        <v>1466</v>
      </c>
      <c r="D764" s="1" t="s">
        <v>13</v>
      </c>
      <c r="E764" s="2" t="s">
        <v>1501</v>
      </c>
      <c r="F764" s="7" t="s">
        <v>1464</v>
      </c>
      <c r="G764" s="11">
        <v>1770</v>
      </c>
      <c r="H764" s="17">
        <f t="shared" si="50"/>
        <v>1858.5</v>
      </c>
      <c r="I764" s="17">
        <f t="shared" si="51"/>
        <v>1951.4250000000002</v>
      </c>
      <c r="J764" s="112">
        <f t="shared" si="52"/>
        <v>2107.5390000000002</v>
      </c>
      <c r="K764" s="112">
        <v>2107.5390000000002</v>
      </c>
      <c r="L764" s="17">
        <f t="shared" si="49"/>
        <v>1256.0932440000001</v>
      </c>
      <c r="M764" t="s">
        <v>3246</v>
      </c>
    </row>
    <row r="765" spans="1:13" x14ac:dyDescent="0.25">
      <c r="B765" s="6" t="s">
        <v>1477</v>
      </c>
      <c r="C765" s="7" t="s">
        <v>1465</v>
      </c>
      <c r="D765" s="1" t="s">
        <v>21</v>
      </c>
      <c r="E765" s="2" t="s">
        <v>1492</v>
      </c>
      <c r="F765" s="7" t="s">
        <v>1463</v>
      </c>
      <c r="G765" s="11">
        <v>1815</v>
      </c>
      <c r="H765" s="17">
        <f t="shared" si="50"/>
        <v>1905.75</v>
      </c>
      <c r="I765" s="17">
        <f t="shared" si="51"/>
        <v>2001.0375000000001</v>
      </c>
      <c r="J765" s="112">
        <f t="shared" si="52"/>
        <v>2161.1205000000004</v>
      </c>
      <c r="K765" s="112">
        <v>2161.1205000000004</v>
      </c>
      <c r="L765" s="17">
        <f t="shared" si="49"/>
        <v>1288.0278180000003</v>
      </c>
      <c r="M765" t="s">
        <v>3246</v>
      </c>
    </row>
    <row r="766" spans="1:13" x14ac:dyDescent="0.25">
      <c r="B766" s="6" t="s">
        <v>1478</v>
      </c>
      <c r="C766" s="7" t="s">
        <v>1466</v>
      </c>
      <c r="D766" s="1" t="s">
        <v>21</v>
      </c>
      <c r="E766" s="2" t="s">
        <v>1502</v>
      </c>
      <c r="F766" s="7" t="s">
        <v>1464</v>
      </c>
      <c r="G766" s="11">
        <v>1815</v>
      </c>
      <c r="H766" s="17">
        <f t="shared" si="50"/>
        <v>1905.75</v>
      </c>
      <c r="I766" s="17">
        <f t="shared" si="51"/>
        <v>2001.0375000000001</v>
      </c>
      <c r="J766" s="112">
        <f t="shared" si="52"/>
        <v>2161.1205000000004</v>
      </c>
      <c r="K766" s="112">
        <v>2161.1205000000004</v>
      </c>
      <c r="L766" s="17">
        <f t="shared" si="49"/>
        <v>1288.0278180000003</v>
      </c>
      <c r="M766" t="s">
        <v>3246</v>
      </c>
    </row>
    <row r="767" spans="1:13" x14ac:dyDescent="0.25">
      <c r="B767" s="6" t="s">
        <v>1479</v>
      </c>
      <c r="C767" s="7" t="s">
        <v>1465</v>
      </c>
      <c r="D767" s="1" t="s">
        <v>14</v>
      </c>
      <c r="E767" s="2" t="s">
        <v>1493</v>
      </c>
      <c r="F767" s="7" t="s">
        <v>1463</v>
      </c>
      <c r="G767" s="11">
        <v>1827</v>
      </c>
      <c r="H767" s="17">
        <f t="shared" si="50"/>
        <v>1918.3500000000001</v>
      </c>
      <c r="I767" s="17">
        <f t="shared" si="51"/>
        <v>2014.2675000000002</v>
      </c>
      <c r="J767" s="112">
        <f t="shared" si="52"/>
        <v>2175.4089000000004</v>
      </c>
      <c r="K767" s="112">
        <v>2175.4089000000004</v>
      </c>
      <c r="L767" s="17">
        <f t="shared" si="49"/>
        <v>1296.5437044000003</v>
      </c>
      <c r="M767" t="s">
        <v>3246</v>
      </c>
    </row>
    <row r="768" spans="1:13" x14ac:dyDescent="0.25">
      <c r="B768" s="6" t="s">
        <v>1480</v>
      </c>
      <c r="C768" s="7" t="s">
        <v>1466</v>
      </c>
      <c r="D768" s="1" t="s">
        <v>14</v>
      </c>
      <c r="E768" s="2" t="s">
        <v>1503</v>
      </c>
      <c r="F768" s="7" t="s">
        <v>1464</v>
      </c>
      <c r="G768" s="11">
        <v>1827</v>
      </c>
      <c r="H768" s="17">
        <f t="shared" si="50"/>
        <v>1918.3500000000001</v>
      </c>
      <c r="I768" s="17">
        <f t="shared" si="51"/>
        <v>2014.2675000000002</v>
      </c>
      <c r="J768" s="112">
        <f t="shared" si="52"/>
        <v>2175.4089000000004</v>
      </c>
      <c r="K768" s="112">
        <v>2175.4089000000004</v>
      </c>
      <c r="L768" s="17">
        <f t="shared" si="49"/>
        <v>1296.5437044000003</v>
      </c>
      <c r="M768" t="s">
        <v>3246</v>
      </c>
    </row>
    <row r="769" spans="1:17" x14ac:dyDescent="0.25">
      <c r="B769" s="6" t="s">
        <v>1481</v>
      </c>
      <c r="C769" s="7" t="s">
        <v>1465</v>
      </c>
      <c r="D769" s="1" t="s">
        <v>15</v>
      </c>
      <c r="E769" s="2" t="s">
        <v>1494</v>
      </c>
      <c r="F769" s="7" t="s">
        <v>1463</v>
      </c>
      <c r="G769" s="11">
        <v>1910</v>
      </c>
      <c r="H769" s="17">
        <f t="shared" si="50"/>
        <v>2005.5</v>
      </c>
      <c r="I769" s="17">
        <f t="shared" si="51"/>
        <v>2105.7750000000001</v>
      </c>
      <c r="J769" s="112">
        <f t="shared" si="52"/>
        <v>2274.2370000000001</v>
      </c>
      <c r="K769" s="112">
        <v>2274.2370000000001</v>
      </c>
      <c r="L769" s="17">
        <f t="shared" ref="L769:L832" si="53">K769*0.596</f>
        <v>1355.445252</v>
      </c>
      <c r="M769" t="s">
        <v>3246</v>
      </c>
    </row>
    <row r="770" spans="1:17" x14ac:dyDescent="0.25">
      <c r="B770" s="6" t="s">
        <v>1482</v>
      </c>
      <c r="C770" s="7" t="s">
        <v>1466</v>
      </c>
      <c r="D770" s="1" t="s">
        <v>15</v>
      </c>
      <c r="E770" s="2" t="s">
        <v>1504</v>
      </c>
      <c r="F770" s="7" t="s">
        <v>1464</v>
      </c>
      <c r="G770" s="11">
        <v>1910</v>
      </c>
      <c r="H770" s="17">
        <f t="shared" ref="H770:H833" si="54">G770*1.05</f>
        <v>2005.5</v>
      </c>
      <c r="I770" s="17">
        <f t="shared" ref="I770:I833" si="55">H770*1.05</f>
        <v>2105.7750000000001</v>
      </c>
      <c r="J770" s="112">
        <f t="shared" ref="J770:J833" si="56">I770*1.08</f>
        <v>2274.2370000000001</v>
      </c>
      <c r="K770" s="112">
        <v>2274.2370000000001</v>
      </c>
      <c r="L770" s="17">
        <f t="shared" si="53"/>
        <v>1355.445252</v>
      </c>
      <c r="M770" t="s">
        <v>3246</v>
      </c>
    </row>
    <row r="771" spans="1:17" x14ac:dyDescent="0.25">
      <c r="B771" s="6" t="s">
        <v>1483</v>
      </c>
      <c r="C771" s="7" t="s">
        <v>1465</v>
      </c>
      <c r="D771" s="1" t="s">
        <v>16</v>
      </c>
      <c r="E771" s="2" t="s">
        <v>1495</v>
      </c>
      <c r="F771" s="7" t="s">
        <v>1463</v>
      </c>
      <c r="G771" s="11">
        <v>1960</v>
      </c>
      <c r="H771" s="17">
        <f t="shared" si="54"/>
        <v>2058</v>
      </c>
      <c r="I771" s="17">
        <f t="shared" si="55"/>
        <v>2160.9</v>
      </c>
      <c r="J771" s="112">
        <f t="shared" si="56"/>
        <v>2333.7720000000004</v>
      </c>
      <c r="K771" s="112">
        <v>2333.7720000000004</v>
      </c>
      <c r="L771" s="17">
        <f t="shared" si="53"/>
        <v>1390.9281120000003</v>
      </c>
      <c r="M771" t="s">
        <v>3246</v>
      </c>
    </row>
    <row r="772" spans="1:17" x14ac:dyDescent="0.25">
      <c r="B772" s="6" t="s">
        <v>1484</v>
      </c>
      <c r="C772" s="7" t="s">
        <v>1466</v>
      </c>
      <c r="D772" s="1" t="s">
        <v>16</v>
      </c>
      <c r="E772" s="2" t="s">
        <v>1505</v>
      </c>
      <c r="F772" s="7" t="s">
        <v>1464</v>
      </c>
      <c r="G772" s="11">
        <v>1960</v>
      </c>
      <c r="H772" s="17">
        <f t="shared" si="54"/>
        <v>2058</v>
      </c>
      <c r="I772" s="17">
        <f t="shared" si="55"/>
        <v>2160.9</v>
      </c>
      <c r="J772" s="112">
        <f t="shared" si="56"/>
        <v>2333.7720000000004</v>
      </c>
      <c r="K772" s="112">
        <v>2333.7720000000004</v>
      </c>
      <c r="L772" s="17">
        <f t="shared" si="53"/>
        <v>1390.9281120000003</v>
      </c>
      <c r="M772" t="s">
        <v>3246</v>
      </c>
    </row>
    <row r="773" spans="1:17" x14ac:dyDescent="0.25">
      <c r="B773" s="6" t="s">
        <v>1485</v>
      </c>
      <c r="C773" s="7" t="s">
        <v>1465</v>
      </c>
      <c r="D773" s="1" t="s">
        <v>18</v>
      </c>
      <c r="E773" s="2" t="s">
        <v>1496</v>
      </c>
      <c r="F773" s="7" t="s">
        <v>1463</v>
      </c>
      <c r="G773" s="11">
        <v>2050</v>
      </c>
      <c r="H773" s="17">
        <f t="shared" si="54"/>
        <v>2152.5</v>
      </c>
      <c r="I773" s="17">
        <f t="shared" si="55"/>
        <v>2260.125</v>
      </c>
      <c r="J773" s="112">
        <f t="shared" si="56"/>
        <v>2440.9349999999999</v>
      </c>
      <c r="K773" s="112">
        <v>2440.9349999999999</v>
      </c>
      <c r="L773" s="17">
        <f t="shared" si="53"/>
        <v>1454.7972599999998</v>
      </c>
      <c r="M773" t="s">
        <v>3246</v>
      </c>
    </row>
    <row r="774" spans="1:17" x14ac:dyDescent="0.25">
      <c r="B774" s="6" t="s">
        <v>1486</v>
      </c>
      <c r="C774" s="7" t="s">
        <v>1466</v>
      </c>
      <c r="D774" s="1" t="s">
        <v>18</v>
      </c>
      <c r="E774" s="2" t="s">
        <v>1506</v>
      </c>
      <c r="F774" s="7" t="s">
        <v>1464</v>
      </c>
      <c r="G774" s="11">
        <v>2050</v>
      </c>
      <c r="H774" s="17">
        <f t="shared" si="54"/>
        <v>2152.5</v>
      </c>
      <c r="I774" s="17">
        <f t="shared" si="55"/>
        <v>2260.125</v>
      </c>
      <c r="J774" s="112">
        <f t="shared" si="56"/>
        <v>2440.9349999999999</v>
      </c>
      <c r="K774" s="112">
        <v>2440.9349999999999</v>
      </c>
      <c r="L774" s="17">
        <f t="shared" si="53"/>
        <v>1454.7972599999998</v>
      </c>
      <c r="M774" t="s">
        <v>3246</v>
      </c>
    </row>
    <row r="775" spans="1:17" s="62" customFormat="1" x14ac:dyDescent="0.25">
      <c r="A775" s="62" t="s">
        <v>2929</v>
      </c>
      <c r="B775" s="75" t="s">
        <v>2900</v>
      </c>
      <c r="C775" s="63"/>
      <c r="D775" s="63"/>
      <c r="E775" s="64"/>
      <c r="F775" s="63"/>
      <c r="G775" s="65"/>
      <c r="H775" s="17"/>
      <c r="I775" s="17">
        <f t="shared" si="55"/>
        <v>0</v>
      </c>
      <c r="J775" s="113"/>
      <c r="K775" s="70"/>
      <c r="L775" s="70"/>
    </row>
    <row r="776" spans="1:17" x14ac:dyDescent="0.25">
      <c r="A776" s="31"/>
      <c r="B776" s="6" t="s">
        <v>1560</v>
      </c>
      <c r="C776" s="7" t="s">
        <v>1664</v>
      </c>
      <c r="D776" s="1" t="s">
        <v>145</v>
      </c>
      <c r="E776" s="2" t="s">
        <v>1507</v>
      </c>
      <c r="F776" s="7" t="s">
        <v>1717</v>
      </c>
      <c r="G776" s="11">
        <v>8228</v>
      </c>
      <c r="H776" s="17">
        <f t="shared" si="54"/>
        <v>8639.4</v>
      </c>
      <c r="I776" s="17">
        <f t="shared" si="55"/>
        <v>9071.3700000000008</v>
      </c>
      <c r="J776" s="112">
        <f t="shared" si="56"/>
        <v>9797.0796000000009</v>
      </c>
      <c r="K776" s="112">
        <v>9797.0796000000009</v>
      </c>
      <c r="L776" s="17">
        <f t="shared" si="53"/>
        <v>5839.0594416000004</v>
      </c>
      <c r="M776" t="s">
        <v>3246</v>
      </c>
      <c r="O776" s="54"/>
      <c r="Q776" s="54"/>
    </row>
    <row r="777" spans="1:17" x14ac:dyDescent="0.25">
      <c r="A777" s="4"/>
      <c r="B777" s="6" t="s">
        <v>1561</v>
      </c>
      <c r="C777" s="7" t="s">
        <v>1664</v>
      </c>
      <c r="D777" s="1" t="s">
        <v>650</v>
      </c>
      <c r="E777" s="2" t="s">
        <v>1508</v>
      </c>
      <c r="F777" s="7" t="s">
        <v>1717</v>
      </c>
      <c r="G777" s="11">
        <v>8321</v>
      </c>
      <c r="H777" s="17">
        <f t="shared" si="54"/>
        <v>8737.0500000000011</v>
      </c>
      <c r="I777" s="17">
        <f t="shared" si="55"/>
        <v>9173.902500000002</v>
      </c>
      <c r="J777" s="112">
        <f t="shared" si="56"/>
        <v>9907.8147000000026</v>
      </c>
      <c r="K777" s="112">
        <v>9907.8147000000026</v>
      </c>
      <c r="L777" s="17">
        <f t="shared" si="53"/>
        <v>5905.0575612000011</v>
      </c>
      <c r="M777" t="s">
        <v>3246</v>
      </c>
    </row>
    <row r="778" spans="1:17" x14ac:dyDescent="0.25">
      <c r="B778" s="6" t="s">
        <v>1562</v>
      </c>
      <c r="C778" s="7" t="s">
        <v>1664</v>
      </c>
      <c r="D778" s="1" t="s">
        <v>651</v>
      </c>
      <c r="E778" s="2" t="s">
        <v>1509</v>
      </c>
      <c r="F778" s="7" t="s">
        <v>1717</v>
      </c>
      <c r="G778" s="11">
        <v>8392</v>
      </c>
      <c r="H778" s="17">
        <f t="shared" si="54"/>
        <v>8811.6</v>
      </c>
      <c r="I778" s="17">
        <f t="shared" si="55"/>
        <v>9252.18</v>
      </c>
      <c r="J778" s="112">
        <f t="shared" si="56"/>
        <v>9992.3544000000002</v>
      </c>
      <c r="K778" s="112">
        <v>9992.3544000000002</v>
      </c>
      <c r="L778" s="17">
        <f t="shared" si="53"/>
        <v>5955.4432224000002</v>
      </c>
      <c r="M778" t="s">
        <v>3246</v>
      </c>
    </row>
    <row r="779" spans="1:17" x14ac:dyDescent="0.25">
      <c r="B779" s="6" t="s">
        <v>1563</v>
      </c>
      <c r="C779" s="7" t="s">
        <v>1664</v>
      </c>
      <c r="D779" s="1" t="s">
        <v>652</v>
      </c>
      <c r="E779" s="2" t="s">
        <v>1510</v>
      </c>
      <c r="F779" s="7" t="s">
        <v>1717</v>
      </c>
      <c r="G779" s="11">
        <v>8543</v>
      </c>
      <c r="H779" s="17">
        <f t="shared" si="54"/>
        <v>8970.15</v>
      </c>
      <c r="I779" s="17">
        <f t="shared" si="55"/>
        <v>9418.6574999999993</v>
      </c>
      <c r="J779" s="112">
        <f t="shared" si="56"/>
        <v>10172.150100000001</v>
      </c>
      <c r="K779" s="112">
        <v>10172.150100000001</v>
      </c>
      <c r="L779" s="17">
        <f t="shared" si="53"/>
        <v>6062.6014596000005</v>
      </c>
      <c r="M779" t="s">
        <v>3246</v>
      </c>
    </row>
    <row r="780" spans="1:17" x14ac:dyDescent="0.25">
      <c r="B780" s="6" t="s">
        <v>1564</v>
      </c>
      <c r="C780" s="7" t="s">
        <v>1664</v>
      </c>
      <c r="D780" s="1" t="s">
        <v>653</v>
      </c>
      <c r="E780" s="2" t="s">
        <v>1511</v>
      </c>
      <c r="F780" s="7" t="s">
        <v>1717</v>
      </c>
      <c r="G780" s="11">
        <v>8686</v>
      </c>
      <c r="H780" s="17">
        <f t="shared" si="54"/>
        <v>9120.3000000000011</v>
      </c>
      <c r="I780" s="17">
        <f t="shared" si="55"/>
        <v>9576.3150000000023</v>
      </c>
      <c r="J780" s="112">
        <f t="shared" si="56"/>
        <v>10342.420200000002</v>
      </c>
      <c r="K780" s="112">
        <v>10342.420200000002</v>
      </c>
      <c r="L780" s="17">
        <f t="shared" si="53"/>
        <v>6164.0824392000013</v>
      </c>
      <c r="M780" t="s">
        <v>3246</v>
      </c>
    </row>
    <row r="781" spans="1:17" x14ac:dyDescent="0.25">
      <c r="B781" s="6" t="s">
        <v>1565</v>
      </c>
      <c r="C781" s="7" t="s">
        <v>1664</v>
      </c>
      <c r="D781" s="1" t="s">
        <v>654</v>
      </c>
      <c r="E781" s="2" t="s">
        <v>1512</v>
      </c>
      <c r="F781" s="7" t="s">
        <v>1717</v>
      </c>
      <c r="G781" s="11">
        <v>8829</v>
      </c>
      <c r="H781" s="17">
        <f t="shared" si="54"/>
        <v>9270.4500000000007</v>
      </c>
      <c r="I781" s="17">
        <f t="shared" si="55"/>
        <v>9733.9725000000017</v>
      </c>
      <c r="J781" s="112">
        <f t="shared" si="56"/>
        <v>10512.690300000002</v>
      </c>
      <c r="K781" s="112">
        <v>10512.690300000002</v>
      </c>
      <c r="L781" s="17">
        <f t="shared" si="53"/>
        <v>6265.5634188000013</v>
      </c>
      <c r="M781" t="s">
        <v>3246</v>
      </c>
    </row>
    <row r="782" spans="1:17" x14ac:dyDescent="0.25">
      <c r="B782" s="6" t="s">
        <v>1566</v>
      </c>
      <c r="C782" s="7" t="s">
        <v>1664</v>
      </c>
      <c r="D782" s="1" t="s">
        <v>655</v>
      </c>
      <c r="E782" s="2" t="s">
        <v>1513</v>
      </c>
      <c r="F782" s="7" t="s">
        <v>1717</v>
      </c>
      <c r="G782" s="11">
        <v>8854</v>
      </c>
      <c r="H782" s="17">
        <f t="shared" si="54"/>
        <v>9296.7000000000007</v>
      </c>
      <c r="I782" s="17">
        <f t="shared" si="55"/>
        <v>9761.5350000000017</v>
      </c>
      <c r="J782" s="112">
        <f t="shared" si="56"/>
        <v>10542.457800000002</v>
      </c>
      <c r="K782" s="112">
        <v>10542.457800000002</v>
      </c>
      <c r="L782" s="17">
        <f t="shared" si="53"/>
        <v>6283.3048488000013</v>
      </c>
      <c r="M782" t="s">
        <v>3246</v>
      </c>
    </row>
    <row r="783" spans="1:17" x14ac:dyDescent="0.25">
      <c r="B783" s="6" t="s">
        <v>1567</v>
      </c>
      <c r="C783" s="7" t="s">
        <v>1664</v>
      </c>
      <c r="D783" s="1" t="s">
        <v>656</v>
      </c>
      <c r="E783" s="2" t="s">
        <v>1514</v>
      </c>
      <c r="F783" s="7" t="s">
        <v>1717</v>
      </c>
      <c r="G783" s="11">
        <v>9077</v>
      </c>
      <c r="H783" s="17">
        <f t="shared" si="54"/>
        <v>9530.85</v>
      </c>
      <c r="I783" s="17">
        <f t="shared" si="55"/>
        <v>10007.3925</v>
      </c>
      <c r="J783" s="112">
        <f t="shared" si="56"/>
        <v>10807.983900000001</v>
      </c>
      <c r="K783" s="112">
        <v>10807.983900000001</v>
      </c>
      <c r="L783" s="17">
        <f t="shared" si="53"/>
        <v>6441.5584044000007</v>
      </c>
      <c r="M783" t="s">
        <v>3246</v>
      </c>
    </row>
    <row r="784" spans="1:17" x14ac:dyDescent="0.25">
      <c r="B784" s="6" t="s">
        <v>1568</v>
      </c>
      <c r="C784" s="7" t="s">
        <v>1664</v>
      </c>
      <c r="D784" s="1" t="s">
        <v>657</v>
      </c>
      <c r="E784" s="2" t="s">
        <v>1515</v>
      </c>
      <c r="F784" s="7" t="s">
        <v>1717</v>
      </c>
      <c r="G784" s="11">
        <v>9270</v>
      </c>
      <c r="H784" s="17">
        <f t="shared" si="54"/>
        <v>9733.5</v>
      </c>
      <c r="I784" s="17">
        <f t="shared" si="55"/>
        <v>10220.175000000001</v>
      </c>
      <c r="J784" s="112">
        <f t="shared" si="56"/>
        <v>11037.789000000002</v>
      </c>
      <c r="K784" s="112">
        <v>11037.789000000002</v>
      </c>
      <c r="L784" s="17">
        <f t="shared" si="53"/>
        <v>6578.5222440000016</v>
      </c>
      <c r="M784" t="s">
        <v>3246</v>
      </c>
    </row>
    <row r="785" spans="2:13" x14ac:dyDescent="0.25">
      <c r="B785" s="6" t="s">
        <v>1569</v>
      </c>
      <c r="C785" s="7" t="s">
        <v>1664</v>
      </c>
      <c r="D785" s="1" t="s">
        <v>658</v>
      </c>
      <c r="E785" s="2" t="s">
        <v>1516</v>
      </c>
      <c r="F785" s="7" t="s">
        <v>1717</v>
      </c>
      <c r="G785" s="11">
        <v>9463</v>
      </c>
      <c r="H785" s="17">
        <f t="shared" si="54"/>
        <v>9936.15</v>
      </c>
      <c r="I785" s="17">
        <f t="shared" si="55"/>
        <v>10432.9575</v>
      </c>
      <c r="J785" s="112">
        <f t="shared" si="56"/>
        <v>11267.594100000002</v>
      </c>
      <c r="K785" s="112">
        <v>11267.594100000002</v>
      </c>
      <c r="L785" s="17">
        <f t="shared" si="53"/>
        <v>6715.4860836000007</v>
      </c>
      <c r="M785" t="s">
        <v>3246</v>
      </c>
    </row>
    <row r="786" spans="2:13" x14ac:dyDescent="0.25">
      <c r="B786" s="6" t="s">
        <v>1570</v>
      </c>
      <c r="C786" s="7" t="s">
        <v>1664</v>
      </c>
      <c r="D786" s="1" t="s">
        <v>659</v>
      </c>
      <c r="E786" s="2" t="s">
        <v>1517</v>
      </c>
      <c r="F786" s="7" t="s">
        <v>1717</v>
      </c>
      <c r="G786" s="11">
        <v>9471</v>
      </c>
      <c r="H786" s="17">
        <f t="shared" si="54"/>
        <v>9944.5500000000011</v>
      </c>
      <c r="I786" s="17">
        <f t="shared" si="55"/>
        <v>10441.777500000002</v>
      </c>
      <c r="J786" s="112">
        <f t="shared" si="56"/>
        <v>11277.119700000003</v>
      </c>
      <c r="K786" s="112">
        <v>11277.119700000003</v>
      </c>
      <c r="L786" s="17">
        <f t="shared" si="53"/>
        <v>6721.163341200001</v>
      </c>
      <c r="M786" t="s">
        <v>3246</v>
      </c>
    </row>
    <row r="787" spans="2:13" x14ac:dyDescent="0.25">
      <c r="B787" s="6" t="s">
        <v>1571</v>
      </c>
      <c r="C787" s="7" t="s">
        <v>1664</v>
      </c>
      <c r="D787" s="1" t="s">
        <v>660</v>
      </c>
      <c r="E787" s="2" t="s">
        <v>1518</v>
      </c>
      <c r="F787" s="7" t="s">
        <v>1717</v>
      </c>
      <c r="G787" s="11">
        <v>9631</v>
      </c>
      <c r="H787" s="17">
        <f t="shared" si="54"/>
        <v>10112.550000000001</v>
      </c>
      <c r="I787" s="17">
        <f t="shared" si="55"/>
        <v>10618.177500000002</v>
      </c>
      <c r="J787" s="112">
        <f t="shared" si="56"/>
        <v>11467.631700000002</v>
      </c>
      <c r="K787" s="112">
        <v>11467.631700000002</v>
      </c>
      <c r="L787" s="17">
        <f t="shared" si="53"/>
        <v>6834.7084932000007</v>
      </c>
      <c r="M787" t="s">
        <v>3246</v>
      </c>
    </row>
    <row r="788" spans="2:13" x14ac:dyDescent="0.25">
      <c r="B788" s="6" t="s">
        <v>1572</v>
      </c>
      <c r="C788" s="7" t="s">
        <v>1664</v>
      </c>
      <c r="D788" s="1" t="s">
        <v>661</v>
      </c>
      <c r="E788" s="2" t="s">
        <v>1519</v>
      </c>
      <c r="F788" s="7" t="s">
        <v>1717</v>
      </c>
      <c r="G788" s="11">
        <v>9833</v>
      </c>
      <c r="H788" s="17">
        <f t="shared" si="54"/>
        <v>10324.65</v>
      </c>
      <c r="I788" s="17">
        <f t="shared" si="55"/>
        <v>10840.8825</v>
      </c>
      <c r="J788" s="112">
        <f t="shared" si="56"/>
        <v>11708.153100000001</v>
      </c>
      <c r="K788" s="112">
        <v>11708.153100000001</v>
      </c>
      <c r="L788" s="17">
        <f t="shared" si="53"/>
        <v>6978.0592476000002</v>
      </c>
      <c r="M788" t="s">
        <v>3246</v>
      </c>
    </row>
    <row r="789" spans="2:13" x14ac:dyDescent="0.25">
      <c r="B789" s="6" t="s">
        <v>1573</v>
      </c>
      <c r="C789" s="7" t="s">
        <v>1664</v>
      </c>
      <c r="D789" s="1" t="s">
        <v>149</v>
      </c>
      <c r="E789" s="2" t="s">
        <v>1520</v>
      </c>
      <c r="F789" s="7" t="s">
        <v>1717</v>
      </c>
      <c r="G789" s="11">
        <v>8267</v>
      </c>
      <c r="H789" s="17">
        <f t="shared" si="54"/>
        <v>8680.35</v>
      </c>
      <c r="I789" s="17">
        <f t="shared" si="55"/>
        <v>9114.3675000000003</v>
      </c>
      <c r="J789" s="112">
        <f t="shared" si="56"/>
        <v>9843.5169000000005</v>
      </c>
      <c r="K789" s="112">
        <v>9843.5169000000005</v>
      </c>
      <c r="L789" s="17">
        <f t="shared" si="53"/>
        <v>5866.7360724</v>
      </c>
      <c r="M789" t="s">
        <v>3246</v>
      </c>
    </row>
    <row r="790" spans="2:13" x14ac:dyDescent="0.25">
      <c r="B790" s="6" t="s">
        <v>1574</v>
      </c>
      <c r="C790" s="7" t="s">
        <v>1664</v>
      </c>
      <c r="D790" s="1" t="s">
        <v>662</v>
      </c>
      <c r="E790" s="2" t="s">
        <v>1521</v>
      </c>
      <c r="F790" s="7" t="s">
        <v>1717</v>
      </c>
      <c r="G790" s="11">
        <v>8360</v>
      </c>
      <c r="H790" s="17">
        <f t="shared" si="54"/>
        <v>8778</v>
      </c>
      <c r="I790" s="17">
        <f t="shared" si="55"/>
        <v>9216.9</v>
      </c>
      <c r="J790" s="112">
        <f t="shared" si="56"/>
        <v>9954.2520000000004</v>
      </c>
      <c r="K790" s="112">
        <v>9954.2520000000004</v>
      </c>
      <c r="L790" s="17">
        <f t="shared" si="53"/>
        <v>5932.7341919999999</v>
      </c>
      <c r="M790" t="s">
        <v>3246</v>
      </c>
    </row>
    <row r="791" spans="2:13" x14ac:dyDescent="0.25">
      <c r="B791" s="6" t="s">
        <v>1575</v>
      </c>
      <c r="C791" s="7" t="s">
        <v>1664</v>
      </c>
      <c r="D791" s="1" t="s">
        <v>663</v>
      </c>
      <c r="E791" s="2" t="s">
        <v>1522</v>
      </c>
      <c r="F791" s="7" t="s">
        <v>1717</v>
      </c>
      <c r="G791" s="11">
        <v>8431</v>
      </c>
      <c r="H791" s="17">
        <f t="shared" si="54"/>
        <v>8852.5500000000011</v>
      </c>
      <c r="I791" s="17">
        <f t="shared" si="55"/>
        <v>9295.1775000000016</v>
      </c>
      <c r="J791" s="112">
        <f t="shared" si="56"/>
        <v>10038.791700000002</v>
      </c>
      <c r="K791" s="112">
        <v>10038.791700000002</v>
      </c>
      <c r="L791" s="17">
        <f t="shared" si="53"/>
        <v>5983.1198532000008</v>
      </c>
      <c r="M791" t="s">
        <v>3246</v>
      </c>
    </row>
    <row r="792" spans="2:13" x14ac:dyDescent="0.25">
      <c r="B792" s="6" t="s">
        <v>1576</v>
      </c>
      <c r="C792" s="7" t="s">
        <v>1664</v>
      </c>
      <c r="D792" s="1" t="s">
        <v>664</v>
      </c>
      <c r="E792" s="2" t="s">
        <v>1523</v>
      </c>
      <c r="F792" s="7" t="s">
        <v>1717</v>
      </c>
      <c r="G792" s="11">
        <v>8582</v>
      </c>
      <c r="H792" s="17">
        <f t="shared" si="54"/>
        <v>9011.1</v>
      </c>
      <c r="I792" s="17">
        <f t="shared" si="55"/>
        <v>9461.6550000000007</v>
      </c>
      <c r="J792" s="112">
        <f t="shared" si="56"/>
        <v>10218.587400000002</v>
      </c>
      <c r="K792" s="112">
        <v>10218.587400000002</v>
      </c>
      <c r="L792" s="17">
        <f t="shared" si="53"/>
        <v>6090.278090400001</v>
      </c>
      <c r="M792" t="s">
        <v>3246</v>
      </c>
    </row>
    <row r="793" spans="2:13" x14ac:dyDescent="0.25">
      <c r="B793" s="6" t="s">
        <v>1577</v>
      </c>
      <c r="C793" s="7" t="s">
        <v>1664</v>
      </c>
      <c r="D793" s="1" t="s">
        <v>665</v>
      </c>
      <c r="E793" s="2" t="s">
        <v>1524</v>
      </c>
      <c r="F793" s="7" t="s">
        <v>1717</v>
      </c>
      <c r="G793" s="11">
        <v>8725</v>
      </c>
      <c r="H793" s="17">
        <f t="shared" si="54"/>
        <v>9161.25</v>
      </c>
      <c r="I793" s="17">
        <f t="shared" si="55"/>
        <v>9619.3125</v>
      </c>
      <c r="J793" s="112">
        <f t="shared" si="56"/>
        <v>10388.8575</v>
      </c>
      <c r="K793" s="112">
        <v>10388.8575</v>
      </c>
      <c r="L793" s="17">
        <f t="shared" si="53"/>
        <v>6191.7590700000001</v>
      </c>
      <c r="M793" t="s">
        <v>3246</v>
      </c>
    </row>
    <row r="794" spans="2:13" x14ac:dyDescent="0.25">
      <c r="B794" s="6" t="s">
        <v>1578</v>
      </c>
      <c r="C794" s="7" t="s">
        <v>1664</v>
      </c>
      <c r="D794" s="1" t="s">
        <v>666</v>
      </c>
      <c r="E794" s="2" t="s">
        <v>1525</v>
      </c>
      <c r="F794" s="7" t="s">
        <v>1717</v>
      </c>
      <c r="G794" s="11">
        <v>8868</v>
      </c>
      <c r="H794" s="17">
        <f t="shared" si="54"/>
        <v>9311.4</v>
      </c>
      <c r="I794" s="17">
        <f t="shared" si="55"/>
        <v>9776.9699999999993</v>
      </c>
      <c r="J794" s="112">
        <f t="shared" si="56"/>
        <v>10559.1276</v>
      </c>
      <c r="K794" s="112">
        <v>10559.1276</v>
      </c>
      <c r="L794" s="17">
        <f t="shared" si="53"/>
        <v>6293.2400496</v>
      </c>
      <c r="M794" t="s">
        <v>3246</v>
      </c>
    </row>
    <row r="795" spans="2:13" x14ac:dyDescent="0.25">
      <c r="B795" s="6" t="s">
        <v>1579</v>
      </c>
      <c r="C795" s="7" t="s">
        <v>1664</v>
      </c>
      <c r="D795" s="1" t="s">
        <v>667</v>
      </c>
      <c r="E795" s="2" t="s">
        <v>1526</v>
      </c>
      <c r="F795" s="7" t="s">
        <v>1717</v>
      </c>
      <c r="G795" s="11">
        <v>8893</v>
      </c>
      <c r="H795" s="17">
        <f t="shared" si="54"/>
        <v>9337.65</v>
      </c>
      <c r="I795" s="17">
        <f t="shared" si="55"/>
        <v>9804.5324999999993</v>
      </c>
      <c r="J795" s="112">
        <f t="shared" si="56"/>
        <v>10588.8951</v>
      </c>
      <c r="K795" s="112">
        <v>10588.8951</v>
      </c>
      <c r="L795" s="17">
        <f t="shared" si="53"/>
        <v>6310.9814795999991</v>
      </c>
      <c r="M795" t="s">
        <v>3246</v>
      </c>
    </row>
    <row r="796" spans="2:13" x14ac:dyDescent="0.25">
      <c r="B796" s="6" t="s">
        <v>1580</v>
      </c>
      <c r="C796" s="7" t="s">
        <v>1664</v>
      </c>
      <c r="D796" s="1" t="s">
        <v>668</v>
      </c>
      <c r="E796" s="2" t="s">
        <v>1527</v>
      </c>
      <c r="F796" s="7" t="s">
        <v>1717</v>
      </c>
      <c r="G796" s="11">
        <v>9116</v>
      </c>
      <c r="H796" s="17">
        <f t="shared" si="54"/>
        <v>9571.8000000000011</v>
      </c>
      <c r="I796" s="17">
        <f t="shared" si="55"/>
        <v>10050.390000000001</v>
      </c>
      <c r="J796" s="112">
        <f t="shared" si="56"/>
        <v>10854.421200000003</v>
      </c>
      <c r="K796" s="112">
        <v>10854.421200000003</v>
      </c>
      <c r="L796" s="17">
        <f t="shared" si="53"/>
        <v>6469.2350352000012</v>
      </c>
      <c r="M796" t="s">
        <v>3246</v>
      </c>
    </row>
    <row r="797" spans="2:13" x14ac:dyDescent="0.25">
      <c r="B797" s="6" t="s">
        <v>1581</v>
      </c>
      <c r="C797" s="7" t="s">
        <v>1664</v>
      </c>
      <c r="D797" s="1" t="s">
        <v>669</v>
      </c>
      <c r="E797" s="2" t="s">
        <v>1528</v>
      </c>
      <c r="F797" s="7" t="s">
        <v>1717</v>
      </c>
      <c r="G797" s="11">
        <v>9309</v>
      </c>
      <c r="H797" s="17">
        <f t="shared" si="54"/>
        <v>9774.4500000000007</v>
      </c>
      <c r="I797" s="17">
        <f t="shared" si="55"/>
        <v>10263.172500000001</v>
      </c>
      <c r="J797" s="112">
        <f t="shared" si="56"/>
        <v>11084.226300000002</v>
      </c>
      <c r="K797" s="112">
        <v>11084.226300000002</v>
      </c>
      <c r="L797" s="17">
        <f t="shared" si="53"/>
        <v>6606.1988748000012</v>
      </c>
      <c r="M797" t="s">
        <v>3246</v>
      </c>
    </row>
    <row r="798" spans="2:13" x14ac:dyDescent="0.25">
      <c r="B798" s="6" t="s">
        <v>1582</v>
      </c>
      <c r="C798" s="7" t="s">
        <v>1664</v>
      </c>
      <c r="D798" s="1" t="s">
        <v>670</v>
      </c>
      <c r="E798" s="2" t="s">
        <v>1529</v>
      </c>
      <c r="F798" s="7" t="s">
        <v>1717</v>
      </c>
      <c r="G798" s="11">
        <v>9502</v>
      </c>
      <c r="H798" s="17">
        <f t="shared" si="54"/>
        <v>9977.1</v>
      </c>
      <c r="I798" s="17">
        <f t="shared" si="55"/>
        <v>10475.955</v>
      </c>
      <c r="J798" s="112">
        <f t="shared" si="56"/>
        <v>11314.0314</v>
      </c>
      <c r="K798" s="112">
        <v>11314.0314</v>
      </c>
      <c r="L798" s="17">
        <f t="shared" si="53"/>
        <v>6743.1627143999995</v>
      </c>
      <c r="M798" t="s">
        <v>3246</v>
      </c>
    </row>
    <row r="799" spans="2:13" x14ac:dyDescent="0.25">
      <c r="B799" s="6" t="s">
        <v>1583</v>
      </c>
      <c r="C799" s="7" t="s">
        <v>1664</v>
      </c>
      <c r="D799" s="1" t="s">
        <v>671</v>
      </c>
      <c r="E799" s="2" t="s">
        <v>1530</v>
      </c>
      <c r="F799" s="7" t="s">
        <v>1717</v>
      </c>
      <c r="G799" s="11">
        <v>9510</v>
      </c>
      <c r="H799" s="17">
        <f t="shared" si="54"/>
        <v>9985.5</v>
      </c>
      <c r="I799" s="17">
        <f t="shared" si="55"/>
        <v>10484.775</v>
      </c>
      <c r="J799" s="112">
        <f t="shared" si="56"/>
        <v>11323.557000000001</v>
      </c>
      <c r="K799" s="112">
        <v>11323.557000000001</v>
      </c>
      <c r="L799" s="17">
        <f t="shared" si="53"/>
        <v>6748.8399719999998</v>
      </c>
      <c r="M799" t="s">
        <v>3246</v>
      </c>
    </row>
    <row r="800" spans="2:13" x14ac:dyDescent="0.25">
      <c r="B800" s="6" t="s">
        <v>1584</v>
      </c>
      <c r="C800" s="7" t="s">
        <v>1664</v>
      </c>
      <c r="D800" s="1" t="s">
        <v>672</v>
      </c>
      <c r="E800" s="2" t="s">
        <v>1531</v>
      </c>
      <c r="F800" s="7" t="s">
        <v>1717</v>
      </c>
      <c r="G800" s="11">
        <v>9670</v>
      </c>
      <c r="H800" s="17">
        <f t="shared" si="54"/>
        <v>10153.5</v>
      </c>
      <c r="I800" s="17">
        <f t="shared" si="55"/>
        <v>10661.175000000001</v>
      </c>
      <c r="J800" s="112">
        <f t="shared" si="56"/>
        <v>11514.069000000001</v>
      </c>
      <c r="K800" s="112">
        <v>11514.069000000001</v>
      </c>
      <c r="L800" s="17">
        <f t="shared" si="53"/>
        <v>6862.3851240000004</v>
      </c>
      <c r="M800" t="s">
        <v>3246</v>
      </c>
    </row>
    <row r="801" spans="2:13" x14ac:dyDescent="0.25">
      <c r="B801" s="6" t="s">
        <v>1585</v>
      </c>
      <c r="C801" s="7" t="s">
        <v>1664</v>
      </c>
      <c r="D801" s="1" t="s">
        <v>673</v>
      </c>
      <c r="E801" s="2" t="s">
        <v>1532</v>
      </c>
      <c r="F801" s="7" t="s">
        <v>1717</v>
      </c>
      <c r="G801" s="11">
        <v>9872</v>
      </c>
      <c r="H801" s="17">
        <f t="shared" si="54"/>
        <v>10365.6</v>
      </c>
      <c r="I801" s="17">
        <f t="shared" si="55"/>
        <v>10883.880000000001</v>
      </c>
      <c r="J801" s="112">
        <f t="shared" si="56"/>
        <v>11754.590400000003</v>
      </c>
      <c r="K801" s="112">
        <v>11754.590400000003</v>
      </c>
      <c r="L801" s="17">
        <f t="shared" si="53"/>
        <v>7005.7358784000016</v>
      </c>
      <c r="M801" t="s">
        <v>3246</v>
      </c>
    </row>
    <row r="802" spans="2:13" x14ac:dyDescent="0.25">
      <c r="B802" s="6" t="s">
        <v>1586</v>
      </c>
      <c r="C802" s="7" t="s">
        <v>1664</v>
      </c>
      <c r="D802" s="1" t="s">
        <v>674</v>
      </c>
      <c r="E802" s="2" t="s">
        <v>1533</v>
      </c>
      <c r="F802" s="7" t="s">
        <v>1717</v>
      </c>
      <c r="G802" s="11">
        <v>8473</v>
      </c>
      <c r="H802" s="17">
        <f t="shared" si="54"/>
        <v>8896.65</v>
      </c>
      <c r="I802" s="17">
        <f t="shared" si="55"/>
        <v>9341.4825000000001</v>
      </c>
      <c r="J802" s="112">
        <f t="shared" si="56"/>
        <v>10088.801100000001</v>
      </c>
      <c r="K802" s="112">
        <v>10088.801100000001</v>
      </c>
      <c r="L802" s="17">
        <f t="shared" si="53"/>
        <v>6012.9254556000005</v>
      </c>
      <c r="M802" t="s">
        <v>3246</v>
      </c>
    </row>
    <row r="803" spans="2:13" x14ac:dyDescent="0.25">
      <c r="B803" s="6" t="s">
        <v>1587</v>
      </c>
      <c r="C803" s="7" t="s">
        <v>1664</v>
      </c>
      <c r="D803" s="1" t="s">
        <v>675</v>
      </c>
      <c r="E803" s="2" t="s">
        <v>1534</v>
      </c>
      <c r="F803" s="7" t="s">
        <v>1717</v>
      </c>
      <c r="G803" s="11">
        <v>8603</v>
      </c>
      <c r="H803" s="17">
        <f t="shared" si="54"/>
        <v>9033.15</v>
      </c>
      <c r="I803" s="17">
        <f t="shared" si="55"/>
        <v>9484.8075000000008</v>
      </c>
      <c r="J803" s="112">
        <f t="shared" si="56"/>
        <v>10243.592100000002</v>
      </c>
      <c r="K803" s="112">
        <v>10243.592100000002</v>
      </c>
      <c r="L803" s="17">
        <f t="shared" si="53"/>
        <v>6105.1808916000009</v>
      </c>
      <c r="M803" t="s">
        <v>3246</v>
      </c>
    </row>
    <row r="804" spans="2:13" x14ac:dyDescent="0.25">
      <c r="B804" s="6" t="s">
        <v>1588</v>
      </c>
      <c r="C804" s="7" t="s">
        <v>1664</v>
      </c>
      <c r="D804" s="1" t="s">
        <v>676</v>
      </c>
      <c r="E804" s="2" t="s">
        <v>1535</v>
      </c>
      <c r="F804" s="7" t="s">
        <v>1717</v>
      </c>
      <c r="G804" s="11">
        <v>8746</v>
      </c>
      <c r="H804" s="17">
        <f t="shared" si="54"/>
        <v>9183.3000000000011</v>
      </c>
      <c r="I804" s="17">
        <f t="shared" si="55"/>
        <v>9642.465000000002</v>
      </c>
      <c r="J804" s="112">
        <f t="shared" si="56"/>
        <v>10413.862200000003</v>
      </c>
      <c r="K804" s="112">
        <v>10413.862200000003</v>
      </c>
      <c r="L804" s="17">
        <f t="shared" si="53"/>
        <v>6206.6618712000018</v>
      </c>
      <c r="M804" t="s">
        <v>3246</v>
      </c>
    </row>
    <row r="805" spans="2:13" x14ac:dyDescent="0.25">
      <c r="B805" s="6" t="s">
        <v>1589</v>
      </c>
      <c r="C805" s="7" t="s">
        <v>1664</v>
      </c>
      <c r="D805" s="1" t="s">
        <v>677</v>
      </c>
      <c r="E805" s="2" t="s">
        <v>1536</v>
      </c>
      <c r="F805" s="7" t="s">
        <v>1717</v>
      </c>
      <c r="G805" s="11">
        <v>8834</v>
      </c>
      <c r="H805" s="17">
        <f t="shared" si="54"/>
        <v>9275.7000000000007</v>
      </c>
      <c r="I805" s="17">
        <f t="shared" si="55"/>
        <v>9739.4850000000006</v>
      </c>
      <c r="J805" s="112">
        <f t="shared" si="56"/>
        <v>10518.643800000002</v>
      </c>
      <c r="K805" s="112">
        <v>10518.643800000002</v>
      </c>
      <c r="L805" s="17">
        <f t="shared" si="53"/>
        <v>6269.1117048000006</v>
      </c>
      <c r="M805" t="s">
        <v>3246</v>
      </c>
    </row>
    <row r="806" spans="2:13" x14ac:dyDescent="0.25">
      <c r="B806" s="6" t="s">
        <v>1590</v>
      </c>
      <c r="C806" s="7" t="s">
        <v>1664</v>
      </c>
      <c r="D806" s="1" t="s">
        <v>678</v>
      </c>
      <c r="E806" s="2" t="s">
        <v>1537</v>
      </c>
      <c r="F806" s="7" t="s">
        <v>1717</v>
      </c>
      <c r="G806" s="11">
        <v>8981</v>
      </c>
      <c r="H806" s="17">
        <f t="shared" si="54"/>
        <v>9430.0500000000011</v>
      </c>
      <c r="I806" s="17">
        <f t="shared" si="55"/>
        <v>9901.5525000000016</v>
      </c>
      <c r="J806" s="112">
        <f t="shared" si="56"/>
        <v>10693.676700000002</v>
      </c>
      <c r="K806" s="112">
        <v>10693.676700000002</v>
      </c>
      <c r="L806" s="17">
        <f t="shared" si="53"/>
        <v>6373.4313132000007</v>
      </c>
      <c r="M806" t="s">
        <v>3246</v>
      </c>
    </row>
    <row r="807" spans="2:13" x14ac:dyDescent="0.25">
      <c r="B807" s="6" t="s">
        <v>1591</v>
      </c>
      <c r="C807" s="7" t="s">
        <v>1664</v>
      </c>
      <c r="D807" s="1" t="s">
        <v>679</v>
      </c>
      <c r="E807" s="2" t="s">
        <v>1538</v>
      </c>
      <c r="F807" s="7" t="s">
        <v>1717</v>
      </c>
      <c r="G807" s="11">
        <v>9044</v>
      </c>
      <c r="H807" s="17">
        <f t="shared" si="54"/>
        <v>9496.2000000000007</v>
      </c>
      <c r="I807" s="17">
        <f t="shared" si="55"/>
        <v>9971.010000000002</v>
      </c>
      <c r="J807" s="112">
        <f t="shared" si="56"/>
        <v>10768.690800000002</v>
      </c>
      <c r="K807" s="112">
        <v>10768.690800000002</v>
      </c>
      <c r="L807" s="17">
        <f t="shared" si="53"/>
        <v>6418.1397168000012</v>
      </c>
      <c r="M807" t="s">
        <v>3246</v>
      </c>
    </row>
    <row r="808" spans="2:13" x14ac:dyDescent="0.25">
      <c r="B808" s="6" t="s">
        <v>1592</v>
      </c>
      <c r="C808" s="7" t="s">
        <v>1664</v>
      </c>
      <c r="D808" s="1" t="s">
        <v>680</v>
      </c>
      <c r="E808" s="2" t="s">
        <v>1539</v>
      </c>
      <c r="F808" s="7" t="s">
        <v>1717</v>
      </c>
      <c r="G808" s="11">
        <v>9149</v>
      </c>
      <c r="H808" s="17">
        <f t="shared" si="54"/>
        <v>9606.4500000000007</v>
      </c>
      <c r="I808" s="17">
        <f t="shared" si="55"/>
        <v>10086.772500000001</v>
      </c>
      <c r="J808" s="112">
        <f t="shared" si="56"/>
        <v>10893.714300000001</v>
      </c>
      <c r="K808" s="112">
        <v>10893.714300000001</v>
      </c>
      <c r="L808" s="17">
        <f t="shared" si="53"/>
        <v>6492.6537228000007</v>
      </c>
      <c r="M808" t="s">
        <v>3246</v>
      </c>
    </row>
    <row r="809" spans="2:13" x14ac:dyDescent="0.25">
      <c r="B809" s="6" t="s">
        <v>1593</v>
      </c>
      <c r="C809" s="7" t="s">
        <v>1664</v>
      </c>
      <c r="D809" s="1" t="s">
        <v>681</v>
      </c>
      <c r="E809" s="2" t="s">
        <v>1540</v>
      </c>
      <c r="F809" s="7" t="s">
        <v>1717</v>
      </c>
      <c r="G809" s="11">
        <v>9279</v>
      </c>
      <c r="H809" s="17">
        <f t="shared" si="54"/>
        <v>9742.9500000000007</v>
      </c>
      <c r="I809" s="17">
        <f t="shared" si="55"/>
        <v>10230.097500000002</v>
      </c>
      <c r="J809" s="112">
        <f t="shared" si="56"/>
        <v>11048.505300000003</v>
      </c>
      <c r="K809" s="112">
        <v>11048.505300000003</v>
      </c>
      <c r="L809" s="17">
        <f t="shared" si="53"/>
        <v>6584.909158800001</v>
      </c>
      <c r="M809" t="s">
        <v>3246</v>
      </c>
    </row>
    <row r="810" spans="2:13" x14ac:dyDescent="0.25">
      <c r="B810" s="6" t="s">
        <v>1594</v>
      </c>
      <c r="C810" s="7" t="s">
        <v>1664</v>
      </c>
      <c r="D810" s="1" t="s">
        <v>682</v>
      </c>
      <c r="E810" s="2" t="s">
        <v>1541</v>
      </c>
      <c r="F810" s="7" t="s">
        <v>1717</v>
      </c>
      <c r="G810" s="11">
        <v>9452</v>
      </c>
      <c r="H810" s="17">
        <f t="shared" si="54"/>
        <v>9924.6</v>
      </c>
      <c r="I810" s="17">
        <f t="shared" si="55"/>
        <v>10420.83</v>
      </c>
      <c r="J810" s="112">
        <f t="shared" si="56"/>
        <v>11254.4964</v>
      </c>
      <c r="K810" s="112">
        <v>11254.4964</v>
      </c>
      <c r="L810" s="17">
        <f t="shared" si="53"/>
        <v>6707.6798543999994</v>
      </c>
      <c r="M810" t="s">
        <v>3246</v>
      </c>
    </row>
    <row r="811" spans="2:13" x14ac:dyDescent="0.25">
      <c r="B811" s="6" t="s">
        <v>1595</v>
      </c>
      <c r="C811" s="7" t="s">
        <v>1664</v>
      </c>
      <c r="D811" s="1" t="s">
        <v>683</v>
      </c>
      <c r="E811" s="2" t="s">
        <v>1542</v>
      </c>
      <c r="F811" s="7" t="s">
        <v>1717</v>
      </c>
      <c r="G811" s="11">
        <v>9741</v>
      </c>
      <c r="H811" s="17">
        <f t="shared" si="54"/>
        <v>10228.050000000001</v>
      </c>
      <c r="I811" s="17">
        <f t="shared" si="55"/>
        <v>10739.452500000001</v>
      </c>
      <c r="J811" s="112">
        <f t="shared" si="56"/>
        <v>11598.608700000003</v>
      </c>
      <c r="K811" s="112">
        <v>11598.608700000003</v>
      </c>
      <c r="L811" s="17">
        <f t="shared" si="53"/>
        <v>6912.7707852000012</v>
      </c>
      <c r="M811" t="s">
        <v>3246</v>
      </c>
    </row>
    <row r="812" spans="2:13" x14ac:dyDescent="0.25">
      <c r="B812" s="6" t="s">
        <v>1596</v>
      </c>
      <c r="C812" s="7" t="s">
        <v>1664</v>
      </c>
      <c r="D812" s="1" t="s">
        <v>684</v>
      </c>
      <c r="E812" s="2" t="s">
        <v>1543</v>
      </c>
      <c r="F812" s="7" t="s">
        <v>1717</v>
      </c>
      <c r="G812" s="11">
        <v>9750</v>
      </c>
      <c r="H812" s="17">
        <f t="shared" si="54"/>
        <v>10237.5</v>
      </c>
      <c r="I812" s="17">
        <f t="shared" si="55"/>
        <v>10749.375</v>
      </c>
      <c r="J812" s="112">
        <f t="shared" si="56"/>
        <v>11609.325000000001</v>
      </c>
      <c r="K812" s="112">
        <v>11609.325000000001</v>
      </c>
      <c r="L812" s="17">
        <f t="shared" si="53"/>
        <v>6919.1576999999997</v>
      </c>
      <c r="M812" t="s">
        <v>3246</v>
      </c>
    </row>
    <row r="813" spans="2:13" x14ac:dyDescent="0.25">
      <c r="B813" s="6" t="s">
        <v>1597</v>
      </c>
      <c r="C813" s="7" t="s">
        <v>1664</v>
      </c>
      <c r="D813" s="1" t="s">
        <v>685</v>
      </c>
      <c r="E813" s="2" t="s">
        <v>1544</v>
      </c>
      <c r="F813" s="7" t="s">
        <v>1717</v>
      </c>
      <c r="G813" s="11">
        <v>9947</v>
      </c>
      <c r="H813" s="17">
        <f t="shared" si="54"/>
        <v>10444.35</v>
      </c>
      <c r="I813" s="17">
        <f t="shared" si="55"/>
        <v>10966.567500000001</v>
      </c>
      <c r="J813" s="112">
        <f t="shared" si="56"/>
        <v>11843.892900000003</v>
      </c>
      <c r="K813" s="112">
        <v>11843.892900000003</v>
      </c>
      <c r="L813" s="17">
        <f t="shared" si="53"/>
        <v>7058.9601684000008</v>
      </c>
      <c r="M813" t="s">
        <v>3246</v>
      </c>
    </row>
    <row r="814" spans="2:13" x14ac:dyDescent="0.25">
      <c r="B814" s="6" t="s">
        <v>1598</v>
      </c>
      <c r="C814" s="7" t="s">
        <v>1664</v>
      </c>
      <c r="D814" s="1" t="s">
        <v>686</v>
      </c>
      <c r="E814" s="2" t="s">
        <v>1545</v>
      </c>
      <c r="F814" s="7" t="s">
        <v>1717</v>
      </c>
      <c r="G814" s="11">
        <v>10153</v>
      </c>
      <c r="H814" s="17">
        <f t="shared" si="54"/>
        <v>10660.65</v>
      </c>
      <c r="I814" s="17">
        <f t="shared" si="55"/>
        <v>11193.682500000001</v>
      </c>
      <c r="J814" s="112">
        <f t="shared" si="56"/>
        <v>12089.177100000001</v>
      </c>
      <c r="K814" s="112">
        <v>12089.177100000001</v>
      </c>
      <c r="L814" s="17">
        <f t="shared" si="53"/>
        <v>7205.1495516000004</v>
      </c>
      <c r="M814" t="s">
        <v>3246</v>
      </c>
    </row>
    <row r="815" spans="2:13" x14ac:dyDescent="0.25">
      <c r="B815" s="6" t="s">
        <v>1599</v>
      </c>
      <c r="C815" s="7" t="s">
        <v>1664</v>
      </c>
      <c r="D815" s="1" t="s">
        <v>687</v>
      </c>
      <c r="E815" s="2" t="s">
        <v>1546</v>
      </c>
      <c r="F815" s="7" t="s">
        <v>1717</v>
      </c>
      <c r="G815" s="11">
        <v>8519</v>
      </c>
      <c r="H815" s="17">
        <f t="shared" si="54"/>
        <v>8944.9500000000007</v>
      </c>
      <c r="I815" s="17">
        <f t="shared" si="55"/>
        <v>9392.197500000002</v>
      </c>
      <c r="J815" s="112">
        <f t="shared" si="56"/>
        <v>10143.573300000004</v>
      </c>
      <c r="K815" s="112">
        <v>10143.573300000004</v>
      </c>
      <c r="L815" s="17">
        <f t="shared" si="53"/>
        <v>6045.5696868000023</v>
      </c>
      <c r="M815" t="s">
        <v>3246</v>
      </c>
    </row>
    <row r="816" spans="2:13" x14ac:dyDescent="0.25">
      <c r="B816" s="6" t="s">
        <v>1600</v>
      </c>
      <c r="C816" s="7" t="s">
        <v>1664</v>
      </c>
      <c r="D816" s="1" t="s">
        <v>688</v>
      </c>
      <c r="E816" s="2" t="s">
        <v>1547</v>
      </c>
      <c r="F816" s="7" t="s">
        <v>1717</v>
      </c>
      <c r="G816" s="11">
        <v>8649</v>
      </c>
      <c r="H816" s="17">
        <f t="shared" si="54"/>
        <v>9081.4500000000007</v>
      </c>
      <c r="I816" s="17">
        <f t="shared" si="55"/>
        <v>9535.5225000000009</v>
      </c>
      <c r="J816" s="112">
        <f t="shared" si="56"/>
        <v>10298.364300000001</v>
      </c>
      <c r="K816" s="112">
        <v>10298.364300000001</v>
      </c>
      <c r="L816" s="17">
        <f t="shared" si="53"/>
        <v>6137.8251228000008</v>
      </c>
      <c r="M816" t="s">
        <v>3246</v>
      </c>
    </row>
    <row r="817" spans="1:13" x14ac:dyDescent="0.25">
      <c r="B817" s="6" t="s">
        <v>1601</v>
      </c>
      <c r="C817" s="7" t="s">
        <v>1664</v>
      </c>
      <c r="D817" s="1" t="s">
        <v>689</v>
      </c>
      <c r="E817" s="2" t="s">
        <v>1548</v>
      </c>
      <c r="F817" s="7" t="s">
        <v>1717</v>
      </c>
      <c r="G817" s="11">
        <v>8792</v>
      </c>
      <c r="H817" s="17">
        <f t="shared" si="54"/>
        <v>9231.6</v>
      </c>
      <c r="I817" s="17">
        <f t="shared" si="55"/>
        <v>9693.18</v>
      </c>
      <c r="J817" s="112">
        <f t="shared" si="56"/>
        <v>10468.634400000001</v>
      </c>
      <c r="K817" s="112">
        <v>10468.634400000001</v>
      </c>
      <c r="L817" s="17">
        <f t="shared" si="53"/>
        <v>6239.3061023999999</v>
      </c>
      <c r="M817" t="s">
        <v>3246</v>
      </c>
    </row>
    <row r="818" spans="1:13" x14ac:dyDescent="0.25">
      <c r="B818" s="6" t="s">
        <v>1602</v>
      </c>
      <c r="C818" s="7" t="s">
        <v>1664</v>
      </c>
      <c r="D818" s="1" t="s">
        <v>690</v>
      </c>
      <c r="E818" s="2" t="s">
        <v>1549</v>
      </c>
      <c r="F818" s="7" t="s">
        <v>1717</v>
      </c>
      <c r="G818" s="11">
        <v>8880</v>
      </c>
      <c r="H818" s="17">
        <f t="shared" si="54"/>
        <v>9324</v>
      </c>
      <c r="I818" s="17">
        <f t="shared" si="55"/>
        <v>9790.2000000000007</v>
      </c>
      <c r="J818" s="112">
        <f t="shared" si="56"/>
        <v>10573.416000000001</v>
      </c>
      <c r="K818" s="112">
        <v>10573.416000000001</v>
      </c>
      <c r="L818" s="17">
        <f t="shared" si="53"/>
        <v>6301.7559360000005</v>
      </c>
      <c r="M818" t="s">
        <v>3246</v>
      </c>
    </row>
    <row r="819" spans="1:13" x14ac:dyDescent="0.25">
      <c r="B819" s="6" t="s">
        <v>1603</v>
      </c>
      <c r="C819" s="7" t="s">
        <v>1664</v>
      </c>
      <c r="D819" s="1" t="s">
        <v>691</v>
      </c>
      <c r="E819" s="2" t="s">
        <v>1550</v>
      </c>
      <c r="F819" s="7" t="s">
        <v>1717</v>
      </c>
      <c r="G819" s="11">
        <v>9027</v>
      </c>
      <c r="H819" s="17">
        <f t="shared" si="54"/>
        <v>9478.35</v>
      </c>
      <c r="I819" s="17">
        <f t="shared" si="55"/>
        <v>9952.2674999999999</v>
      </c>
      <c r="J819" s="112">
        <f t="shared" si="56"/>
        <v>10748.448900000001</v>
      </c>
      <c r="K819" s="112">
        <v>10748.448900000001</v>
      </c>
      <c r="L819" s="17">
        <f t="shared" si="53"/>
        <v>6406.0755444000006</v>
      </c>
      <c r="M819" t="s">
        <v>3246</v>
      </c>
    </row>
    <row r="820" spans="1:13" x14ac:dyDescent="0.25">
      <c r="B820" s="6" t="s">
        <v>1604</v>
      </c>
      <c r="C820" s="7" t="s">
        <v>1664</v>
      </c>
      <c r="D820" s="1" t="s">
        <v>692</v>
      </c>
      <c r="E820" s="2" t="s">
        <v>1551</v>
      </c>
      <c r="F820" s="7" t="s">
        <v>1717</v>
      </c>
      <c r="G820" s="11">
        <v>9090</v>
      </c>
      <c r="H820" s="17">
        <f t="shared" si="54"/>
        <v>9544.5</v>
      </c>
      <c r="I820" s="17">
        <f t="shared" si="55"/>
        <v>10021.725</v>
      </c>
      <c r="J820" s="112">
        <f t="shared" si="56"/>
        <v>10823.463000000002</v>
      </c>
      <c r="K820" s="112">
        <v>10823.463000000002</v>
      </c>
      <c r="L820" s="17">
        <f t="shared" si="53"/>
        <v>6450.7839480000002</v>
      </c>
      <c r="M820" t="s">
        <v>3246</v>
      </c>
    </row>
    <row r="821" spans="1:13" x14ac:dyDescent="0.25">
      <c r="B821" s="6" t="s">
        <v>1605</v>
      </c>
      <c r="C821" s="7" t="s">
        <v>1664</v>
      </c>
      <c r="D821" s="1" t="s">
        <v>693</v>
      </c>
      <c r="E821" s="2" t="s">
        <v>1552</v>
      </c>
      <c r="F821" s="7" t="s">
        <v>1717</v>
      </c>
      <c r="G821" s="11">
        <v>9195</v>
      </c>
      <c r="H821" s="17">
        <f t="shared" si="54"/>
        <v>9654.75</v>
      </c>
      <c r="I821" s="17">
        <f t="shared" si="55"/>
        <v>10137.487500000001</v>
      </c>
      <c r="J821" s="112">
        <f t="shared" si="56"/>
        <v>10948.486500000003</v>
      </c>
      <c r="K821" s="112">
        <v>10948.486500000003</v>
      </c>
      <c r="L821" s="17">
        <f t="shared" si="53"/>
        <v>6525.2979540000015</v>
      </c>
      <c r="M821" t="s">
        <v>3246</v>
      </c>
    </row>
    <row r="822" spans="1:13" x14ac:dyDescent="0.25">
      <c r="B822" s="6" t="s">
        <v>1606</v>
      </c>
      <c r="C822" s="7" t="s">
        <v>1664</v>
      </c>
      <c r="D822" s="1" t="s">
        <v>694</v>
      </c>
      <c r="E822" s="2" t="s">
        <v>1553</v>
      </c>
      <c r="F822" s="7" t="s">
        <v>1717</v>
      </c>
      <c r="G822" s="11">
        <v>9326</v>
      </c>
      <c r="H822" s="17">
        <f t="shared" si="54"/>
        <v>9792.3000000000011</v>
      </c>
      <c r="I822" s="17">
        <f t="shared" si="55"/>
        <v>10281.915000000001</v>
      </c>
      <c r="J822" s="112">
        <f t="shared" si="56"/>
        <v>11104.468200000001</v>
      </c>
      <c r="K822" s="112">
        <v>11104.468200000001</v>
      </c>
      <c r="L822" s="17">
        <f t="shared" si="53"/>
        <v>6618.2630472000001</v>
      </c>
      <c r="M822" t="s">
        <v>3246</v>
      </c>
    </row>
    <row r="823" spans="1:13" x14ac:dyDescent="0.25">
      <c r="B823" s="6" t="s">
        <v>1607</v>
      </c>
      <c r="C823" s="7" t="s">
        <v>1664</v>
      </c>
      <c r="D823" s="1" t="s">
        <v>695</v>
      </c>
      <c r="E823" s="2" t="s">
        <v>1554</v>
      </c>
      <c r="F823" s="7" t="s">
        <v>1717</v>
      </c>
      <c r="G823" s="11">
        <v>9498</v>
      </c>
      <c r="H823" s="17">
        <f t="shared" si="54"/>
        <v>9972.9</v>
      </c>
      <c r="I823" s="17">
        <f t="shared" si="55"/>
        <v>10471.545</v>
      </c>
      <c r="J823" s="112">
        <f t="shared" si="56"/>
        <v>11309.268600000001</v>
      </c>
      <c r="K823" s="112">
        <v>11309.268600000001</v>
      </c>
      <c r="L823" s="17">
        <f t="shared" si="53"/>
        <v>6740.3240856000002</v>
      </c>
      <c r="M823" t="s">
        <v>3246</v>
      </c>
    </row>
    <row r="824" spans="1:13" x14ac:dyDescent="0.25">
      <c r="B824" s="6" t="s">
        <v>1608</v>
      </c>
      <c r="C824" s="7" t="s">
        <v>1664</v>
      </c>
      <c r="D824" s="1" t="s">
        <v>696</v>
      </c>
      <c r="E824" s="2" t="s">
        <v>1555</v>
      </c>
      <c r="F824" s="7" t="s">
        <v>1717</v>
      </c>
      <c r="G824" s="11">
        <v>9788</v>
      </c>
      <c r="H824" s="17">
        <f t="shared" si="54"/>
        <v>10277.4</v>
      </c>
      <c r="I824" s="17">
        <f t="shared" si="55"/>
        <v>10791.27</v>
      </c>
      <c r="J824" s="112">
        <f t="shared" si="56"/>
        <v>11654.571600000001</v>
      </c>
      <c r="K824" s="112">
        <v>11654.571600000001</v>
      </c>
      <c r="L824" s="17">
        <f t="shared" si="53"/>
        <v>6946.1246736000003</v>
      </c>
      <c r="M824" t="s">
        <v>3246</v>
      </c>
    </row>
    <row r="825" spans="1:13" x14ac:dyDescent="0.25">
      <c r="B825" s="6" t="s">
        <v>1609</v>
      </c>
      <c r="C825" s="7" t="s">
        <v>1664</v>
      </c>
      <c r="D825" s="1" t="s">
        <v>697</v>
      </c>
      <c r="E825" s="2" t="s">
        <v>1556</v>
      </c>
      <c r="F825" s="7" t="s">
        <v>1717</v>
      </c>
      <c r="G825" s="11">
        <v>9796</v>
      </c>
      <c r="H825" s="17">
        <f t="shared" si="54"/>
        <v>10285.800000000001</v>
      </c>
      <c r="I825" s="17">
        <f t="shared" si="55"/>
        <v>10800.090000000002</v>
      </c>
      <c r="J825" s="112">
        <f t="shared" si="56"/>
        <v>11664.097200000004</v>
      </c>
      <c r="K825" s="112">
        <v>11664.097200000004</v>
      </c>
      <c r="L825" s="17">
        <f t="shared" si="53"/>
        <v>6951.8019312000024</v>
      </c>
      <c r="M825" t="s">
        <v>3246</v>
      </c>
    </row>
    <row r="826" spans="1:13" x14ac:dyDescent="0.25">
      <c r="B826" s="6" t="s">
        <v>1610</v>
      </c>
      <c r="C826" s="7" t="s">
        <v>1664</v>
      </c>
      <c r="D826" s="1" t="s">
        <v>698</v>
      </c>
      <c r="E826" s="2" t="s">
        <v>1557</v>
      </c>
      <c r="F826" s="7" t="s">
        <v>1717</v>
      </c>
      <c r="G826" s="11">
        <v>9993</v>
      </c>
      <c r="H826" s="17">
        <f t="shared" si="54"/>
        <v>10492.65</v>
      </c>
      <c r="I826" s="17">
        <f t="shared" si="55"/>
        <v>11017.282499999999</v>
      </c>
      <c r="J826" s="112">
        <f t="shared" si="56"/>
        <v>11898.6651</v>
      </c>
      <c r="K826" s="112">
        <v>11898.6651</v>
      </c>
      <c r="L826" s="17">
        <f t="shared" si="53"/>
        <v>7091.6043995999999</v>
      </c>
      <c r="M826" t="s">
        <v>3246</v>
      </c>
    </row>
    <row r="827" spans="1:13" x14ac:dyDescent="0.25">
      <c r="B827" s="6" t="s">
        <v>1611</v>
      </c>
      <c r="C827" s="7" t="s">
        <v>1664</v>
      </c>
      <c r="D827" s="1" t="s">
        <v>699</v>
      </c>
      <c r="E827" s="2" t="s">
        <v>1558</v>
      </c>
      <c r="F827" s="7" t="s">
        <v>1717</v>
      </c>
      <c r="G827" s="11">
        <v>10199</v>
      </c>
      <c r="H827" s="17">
        <f t="shared" si="54"/>
        <v>10708.95</v>
      </c>
      <c r="I827" s="17">
        <f t="shared" si="55"/>
        <v>11244.397500000001</v>
      </c>
      <c r="J827" s="112">
        <f t="shared" si="56"/>
        <v>12143.949300000002</v>
      </c>
      <c r="K827" s="112">
        <v>12143.949300000002</v>
      </c>
      <c r="L827" s="17">
        <f t="shared" si="53"/>
        <v>7237.7937828000013</v>
      </c>
      <c r="M827" t="s">
        <v>3246</v>
      </c>
    </row>
    <row r="828" spans="1:13" s="62" customFormat="1" x14ac:dyDescent="0.25">
      <c r="A828" s="62" t="s">
        <v>2929</v>
      </c>
      <c r="B828" s="75" t="s">
        <v>2901</v>
      </c>
      <c r="C828" s="63"/>
      <c r="D828" s="63"/>
      <c r="E828" s="64"/>
      <c r="F828" s="63"/>
      <c r="G828" s="65"/>
      <c r="H828" s="17"/>
      <c r="I828" s="17">
        <f t="shared" si="55"/>
        <v>0</v>
      </c>
      <c r="J828" s="113"/>
      <c r="K828" s="70"/>
      <c r="L828" s="70"/>
    </row>
    <row r="829" spans="1:13" x14ac:dyDescent="0.25">
      <c r="A829" s="31"/>
      <c r="B829" s="6" t="s">
        <v>1612</v>
      </c>
      <c r="C829" s="7" t="s">
        <v>1715</v>
      </c>
      <c r="D829" s="1" t="s">
        <v>145</v>
      </c>
      <c r="E829" s="2" t="s">
        <v>1559</v>
      </c>
      <c r="F829" s="7" t="s">
        <v>1716</v>
      </c>
      <c r="G829" s="11">
        <v>7609</v>
      </c>
      <c r="H829" s="17">
        <f t="shared" si="54"/>
        <v>7989.4500000000007</v>
      </c>
      <c r="I829" s="17">
        <f t="shared" si="55"/>
        <v>8388.9225000000006</v>
      </c>
      <c r="J829" s="112">
        <f t="shared" si="56"/>
        <v>9060.0363000000016</v>
      </c>
      <c r="K829" s="112">
        <v>9060.0363000000016</v>
      </c>
      <c r="L829" s="17">
        <f t="shared" si="53"/>
        <v>5399.7816348000006</v>
      </c>
      <c r="M829" t="s">
        <v>3246</v>
      </c>
    </row>
    <row r="830" spans="1:13" x14ac:dyDescent="0.25">
      <c r="A830" s="4"/>
      <c r="B830" s="6" t="s">
        <v>1613</v>
      </c>
      <c r="C830" s="7" t="s">
        <v>1715</v>
      </c>
      <c r="D830" s="1" t="s">
        <v>650</v>
      </c>
      <c r="E830" s="2" t="s">
        <v>1665</v>
      </c>
      <c r="F830" s="7" t="s">
        <v>1716</v>
      </c>
      <c r="G830" s="11">
        <v>7705</v>
      </c>
      <c r="H830" s="17">
        <f t="shared" si="54"/>
        <v>8090.25</v>
      </c>
      <c r="I830" s="17">
        <f t="shared" si="55"/>
        <v>8494.7625000000007</v>
      </c>
      <c r="J830" s="112">
        <f t="shared" si="56"/>
        <v>9174.3435000000009</v>
      </c>
      <c r="K830" s="112">
        <v>9174.3435000000009</v>
      </c>
      <c r="L830" s="17">
        <f t="shared" si="53"/>
        <v>5467.9087260000006</v>
      </c>
      <c r="M830" t="s">
        <v>3246</v>
      </c>
    </row>
    <row r="831" spans="1:13" x14ac:dyDescent="0.25">
      <c r="B831" s="6" t="s">
        <v>1614</v>
      </c>
      <c r="C831" s="7" t="s">
        <v>1715</v>
      </c>
      <c r="D831" s="1" t="s">
        <v>651</v>
      </c>
      <c r="E831" s="2" t="s">
        <v>1666</v>
      </c>
      <c r="F831" s="7" t="s">
        <v>1716</v>
      </c>
      <c r="G831" s="11">
        <v>7836</v>
      </c>
      <c r="H831" s="17">
        <f t="shared" si="54"/>
        <v>8227.8000000000011</v>
      </c>
      <c r="I831" s="17">
        <f t="shared" si="55"/>
        <v>8639.1900000000023</v>
      </c>
      <c r="J831" s="112">
        <f t="shared" si="56"/>
        <v>9330.325200000003</v>
      </c>
      <c r="K831" s="112">
        <v>9330.325200000003</v>
      </c>
      <c r="L831" s="17">
        <f t="shared" si="53"/>
        <v>5560.8738192000019</v>
      </c>
      <c r="M831" t="s">
        <v>3246</v>
      </c>
    </row>
    <row r="832" spans="1:13" x14ac:dyDescent="0.25">
      <c r="B832" s="6" t="s">
        <v>1615</v>
      </c>
      <c r="C832" s="7" t="s">
        <v>1715</v>
      </c>
      <c r="D832" s="1" t="s">
        <v>652</v>
      </c>
      <c r="E832" s="2" t="s">
        <v>1667</v>
      </c>
      <c r="F832" s="7" t="s">
        <v>1716</v>
      </c>
      <c r="G832" s="11">
        <v>7861</v>
      </c>
      <c r="H832" s="17">
        <f t="shared" si="54"/>
        <v>8254.0500000000011</v>
      </c>
      <c r="I832" s="17">
        <f t="shared" si="55"/>
        <v>8666.7525000000023</v>
      </c>
      <c r="J832" s="112">
        <f t="shared" si="56"/>
        <v>9360.0927000000029</v>
      </c>
      <c r="K832" s="112">
        <v>9360.0927000000029</v>
      </c>
      <c r="L832" s="17">
        <f t="shared" si="53"/>
        <v>5578.6152492000019</v>
      </c>
      <c r="M832" t="s">
        <v>3246</v>
      </c>
    </row>
    <row r="833" spans="2:13" x14ac:dyDescent="0.25">
      <c r="B833" s="6" t="s">
        <v>1616</v>
      </c>
      <c r="C833" s="7" t="s">
        <v>1715</v>
      </c>
      <c r="D833" s="1" t="s">
        <v>653</v>
      </c>
      <c r="E833" s="2" t="s">
        <v>1668</v>
      </c>
      <c r="F833" s="7" t="s">
        <v>1716</v>
      </c>
      <c r="G833" s="11">
        <v>7962</v>
      </c>
      <c r="H833" s="17">
        <f t="shared" si="54"/>
        <v>8360.1</v>
      </c>
      <c r="I833" s="17">
        <f t="shared" si="55"/>
        <v>8778.1050000000014</v>
      </c>
      <c r="J833" s="112">
        <f t="shared" si="56"/>
        <v>9480.3534000000018</v>
      </c>
      <c r="K833" s="112">
        <v>9480.3534000000018</v>
      </c>
      <c r="L833" s="17">
        <f t="shared" ref="L833:L896" si="57">K833*0.596</f>
        <v>5650.2906264000012</v>
      </c>
      <c r="M833" t="s">
        <v>3246</v>
      </c>
    </row>
    <row r="834" spans="2:13" x14ac:dyDescent="0.25">
      <c r="B834" s="6" t="s">
        <v>1617</v>
      </c>
      <c r="C834" s="7" t="s">
        <v>1715</v>
      </c>
      <c r="D834" s="1" t="s">
        <v>654</v>
      </c>
      <c r="E834" s="2" t="s">
        <v>1669</v>
      </c>
      <c r="F834" s="7" t="s">
        <v>1716</v>
      </c>
      <c r="G834" s="11">
        <v>7995</v>
      </c>
      <c r="H834" s="17">
        <f t="shared" ref="H834:H897" si="58">G834*1.05</f>
        <v>8394.75</v>
      </c>
      <c r="I834" s="17">
        <f t="shared" ref="I834:I897" si="59">H834*1.05</f>
        <v>8814.4875000000011</v>
      </c>
      <c r="J834" s="112">
        <f t="shared" ref="J834:J897" si="60">I834*1.08</f>
        <v>9519.6465000000026</v>
      </c>
      <c r="K834" s="112">
        <v>9519.6465000000026</v>
      </c>
      <c r="L834" s="17">
        <f t="shared" si="57"/>
        <v>5673.7093140000015</v>
      </c>
      <c r="M834" t="s">
        <v>3246</v>
      </c>
    </row>
    <row r="835" spans="2:13" x14ac:dyDescent="0.25">
      <c r="B835" s="6" t="s">
        <v>1618</v>
      </c>
      <c r="C835" s="7" t="s">
        <v>1715</v>
      </c>
      <c r="D835" s="1" t="s">
        <v>655</v>
      </c>
      <c r="E835" s="2" t="s">
        <v>1670</v>
      </c>
      <c r="F835" s="7" t="s">
        <v>1716</v>
      </c>
      <c r="G835" s="11">
        <v>8117</v>
      </c>
      <c r="H835" s="17">
        <f t="shared" si="58"/>
        <v>8522.85</v>
      </c>
      <c r="I835" s="17">
        <f t="shared" si="59"/>
        <v>8948.9925000000003</v>
      </c>
      <c r="J835" s="112">
        <f t="shared" si="60"/>
        <v>9664.911900000001</v>
      </c>
      <c r="K835" s="112">
        <v>9664.911900000001</v>
      </c>
      <c r="L835" s="17">
        <f t="shared" si="57"/>
        <v>5760.2874924000007</v>
      </c>
      <c r="M835" t="s">
        <v>3246</v>
      </c>
    </row>
    <row r="836" spans="2:13" x14ac:dyDescent="0.25">
      <c r="B836" s="6" t="s">
        <v>1619</v>
      </c>
      <c r="C836" s="7" t="s">
        <v>1715</v>
      </c>
      <c r="D836" s="1" t="s">
        <v>656</v>
      </c>
      <c r="E836" s="2" t="s">
        <v>1671</v>
      </c>
      <c r="F836" s="7" t="s">
        <v>1716</v>
      </c>
      <c r="G836" s="11">
        <v>8302</v>
      </c>
      <c r="H836" s="17">
        <f t="shared" si="58"/>
        <v>8717.1</v>
      </c>
      <c r="I836" s="17">
        <f t="shared" si="59"/>
        <v>9152.9549999999999</v>
      </c>
      <c r="J836" s="112">
        <f t="shared" si="60"/>
        <v>9885.1913999999997</v>
      </c>
      <c r="K836" s="112">
        <v>9885.1913999999997</v>
      </c>
      <c r="L836" s="17">
        <f t="shared" si="57"/>
        <v>5891.5740743999995</v>
      </c>
      <c r="M836" t="s">
        <v>3246</v>
      </c>
    </row>
    <row r="837" spans="2:13" x14ac:dyDescent="0.25">
      <c r="B837" s="6" t="s">
        <v>1620</v>
      </c>
      <c r="C837" s="7" t="s">
        <v>1715</v>
      </c>
      <c r="D837" s="1" t="s">
        <v>657</v>
      </c>
      <c r="E837" s="2" t="s">
        <v>1672</v>
      </c>
      <c r="F837" s="7" t="s">
        <v>1716</v>
      </c>
      <c r="G837" s="11">
        <v>8596</v>
      </c>
      <c r="H837" s="17">
        <f t="shared" si="58"/>
        <v>9025.8000000000011</v>
      </c>
      <c r="I837" s="17">
        <f t="shared" si="59"/>
        <v>9477.090000000002</v>
      </c>
      <c r="J837" s="112">
        <f t="shared" si="60"/>
        <v>10235.257200000004</v>
      </c>
      <c r="K837" s="112">
        <v>10235.257200000004</v>
      </c>
      <c r="L837" s="17">
        <f t="shared" si="57"/>
        <v>6100.2132912000015</v>
      </c>
      <c r="M837" t="s">
        <v>3246</v>
      </c>
    </row>
    <row r="838" spans="2:13" x14ac:dyDescent="0.25">
      <c r="B838" s="6" t="s">
        <v>1621</v>
      </c>
      <c r="C838" s="7" t="s">
        <v>1715</v>
      </c>
      <c r="D838" s="1" t="s">
        <v>658</v>
      </c>
      <c r="E838" s="2" t="s">
        <v>1673</v>
      </c>
      <c r="F838" s="7" t="s">
        <v>1716</v>
      </c>
      <c r="G838" s="11">
        <v>8688</v>
      </c>
      <c r="H838" s="17">
        <f t="shared" si="58"/>
        <v>9122.4</v>
      </c>
      <c r="I838" s="17">
        <f t="shared" si="59"/>
        <v>9578.52</v>
      </c>
      <c r="J838" s="112">
        <f t="shared" si="60"/>
        <v>10344.801600000001</v>
      </c>
      <c r="K838" s="112">
        <v>10344.801600000001</v>
      </c>
      <c r="L838" s="17">
        <f t="shared" si="57"/>
        <v>6165.5017536000005</v>
      </c>
      <c r="M838" t="s">
        <v>3246</v>
      </c>
    </row>
    <row r="839" spans="2:13" x14ac:dyDescent="0.25">
      <c r="B839" s="6" t="s">
        <v>1622</v>
      </c>
      <c r="C839" s="7" t="s">
        <v>1715</v>
      </c>
      <c r="D839" s="1" t="s">
        <v>659</v>
      </c>
      <c r="E839" s="2" t="s">
        <v>1674</v>
      </c>
      <c r="F839" s="7" t="s">
        <v>1716</v>
      </c>
      <c r="G839" s="11">
        <v>8839</v>
      </c>
      <c r="H839" s="17">
        <f t="shared" si="58"/>
        <v>9280.9500000000007</v>
      </c>
      <c r="I839" s="17">
        <f t="shared" si="59"/>
        <v>9744.9975000000013</v>
      </c>
      <c r="J839" s="112">
        <f t="shared" si="60"/>
        <v>10524.597300000001</v>
      </c>
      <c r="K839" s="112">
        <v>10524.597300000001</v>
      </c>
      <c r="L839" s="17">
        <f t="shared" si="57"/>
        <v>6272.6599908000007</v>
      </c>
      <c r="M839" t="s">
        <v>3246</v>
      </c>
    </row>
    <row r="840" spans="2:13" x14ac:dyDescent="0.25">
      <c r="B840" s="6" t="s">
        <v>1623</v>
      </c>
      <c r="C840" s="7" t="s">
        <v>1715</v>
      </c>
      <c r="D840" s="1" t="s">
        <v>660</v>
      </c>
      <c r="E840" s="2" t="s">
        <v>1675</v>
      </c>
      <c r="F840" s="7" t="s">
        <v>1716</v>
      </c>
      <c r="G840" s="11">
        <v>8991</v>
      </c>
      <c r="H840" s="17">
        <f t="shared" si="58"/>
        <v>9440.5500000000011</v>
      </c>
      <c r="I840" s="17">
        <f t="shared" si="59"/>
        <v>9912.5775000000012</v>
      </c>
      <c r="J840" s="112">
        <f t="shared" si="60"/>
        <v>10705.583700000003</v>
      </c>
      <c r="K840" s="112">
        <v>10705.583700000003</v>
      </c>
      <c r="L840" s="17">
        <f t="shared" si="57"/>
        <v>6380.527885200001</v>
      </c>
      <c r="M840" t="s">
        <v>3246</v>
      </c>
    </row>
    <row r="841" spans="2:13" x14ac:dyDescent="0.25">
      <c r="B841" s="6" t="s">
        <v>1624</v>
      </c>
      <c r="C841" s="7" t="s">
        <v>1715</v>
      </c>
      <c r="D841" s="1" t="s">
        <v>661</v>
      </c>
      <c r="E841" s="2" t="s">
        <v>1676</v>
      </c>
      <c r="F841" s="7" t="s">
        <v>1716</v>
      </c>
      <c r="G841" s="11">
        <v>9075</v>
      </c>
      <c r="H841" s="17">
        <f t="shared" si="58"/>
        <v>9528.75</v>
      </c>
      <c r="I841" s="17">
        <f t="shared" si="59"/>
        <v>10005.1875</v>
      </c>
      <c r="J841" s="112">
        <f t="shared" si="60"/>
        <v>10805.602500000001</v>
      </c>
      <c r="K841" s="112">
        <v>10805.602500000001</v>
      </c>
      <c r="L841" s="17">
        <f t="shared" si="57"/>
        <v>6440.1390900000006</v>
      </c>
      <c r="M841" t="s">
        <v>3246</v>
      </c>
    </row>
    <row r="842" spans="2:13" x14ac:dyDescent="0.25">
      <c r="B842" s="6" t="s">
        <v>1625</v>
      </c>
      <c r="C842" s="7" t="s">
        <v>1715</v>
      </c>
      <c r="D842" s="1" t="s">
        <v>149</v>
      </c>
      <c r="E842" s="2" t="s">
        <v>1677</v>
      </c>
      <c r="F842" s="7" t="s">
        <v>1716</v>
      </c>
      <c r="G842" s="11">
        <v>7643</v>
      </c>
      <c r="H842" s="17">
        <f t="shared" si="58"/>
        <v>8025.1500000000005</v>
      </c>
      <c r="I842" s="17">
        <f t="shared" si="59"/>
        <v>8426.4075000000012</v>
      </c>
      <c r="J842" s="112">
        <f t="shared" si="60"/>
        <v>9100.5201000000015</v>
      </c>
      <c r="K842" s="112">
        <v>9100.5201000000015</v>
      </c>
      <c r="L842" s="17">
        <f t="shared" si="57"/>
        <v>5423.909979600001</v>
      </c>
      <c r="M842" t="s">
        <v>3246</v>
      </c>
    </row>
    <row r="843" spans="2:13" x14ac:dyDescent="0.25">
      <c r="B843" s="6" t="s">
        <v>1626</v>
      </c>
      <c r="C843" s="7" t="s">
        <v>1715</v>
      </c>
      <c r="D843" s="1" t="s">
        <v>662</v>
      </c>
      <c r="E843" s="2" t="s">
        <v>1677</v>
      </c>
      <c r="F843" s="7" t="s">
        <v>1716</v>
      </c>
      <c r="G843" s="11">
        <v>7740</v>
      </c>
      <c r="H843" s="17">
        <f t="shared" si="58"/>
        <v>8127</v>
      </c>
      <c r="I843" s="17">
        <f t="shared" si="59"/>
        <v>8533.35</v>
      </c>
      <c r="J843" s="112">
        <f t="shared" si="60"/>
        <v>9216.0180000000018</v>
      </c>
      <c r="K843" s="112">
        <v>9216.0180000000018</v>
      </c>
      <c r="L843" s="17">
        <f t="shared" si="57"/>
        <v>5492.746728000001</v>
      </c>
      <c r="M843" t="s">
        <v>3246</v>
      </c>
    </row>
    <row r="844" spans="2:13" x14ac:dyDescent="0.25">
      <c r="B844" s="6" t="s">
        <v>1627</v>
      </c>
      <c r="C844" s="7" t="s">
        <v>1715</v>
      </c>
      <c r="D844" s="1" t="s">
        <v>663</v>
      </c>
      <c r="E844" s="2" t="s">
        <v>1678</v>
      </c>
      <c r="F844" s="7" t="s">
        <v>1716</v>
      </c>
      <c r="G844" s="11">
        <v>7870</v>
      </c>
      <c r="H844" s="17">
        <f t="shared" si="58"/>
        <v>8263.5</v>
      </c>
      <c r="I844" s="17">
        <f t="shared" si="59"/>
        <v>8676.6750000000011</v>
      </c>
      <c r="J844" s="112">
        <f t="shared" si="60"/>
        <v>9370.8090000000011</v>
      </c>
      <c r="K844" s="112">
        <v>9370.8090000000011</v>
      </c>
      <c r="L844" s="17">
        <f t="shared" si="57"/>
        <v>5585.0021640000004</v>
      </c>
      <c r="M844" t="s">
        <v>3246</v>
      </c>
    </row>
    <row r="845" spans="2:13" x14ac:dyDescent="0.25">
      <c r="B845" s="6" t="s">
        <v>1628</v>
      </c>
      <c r="C845" s="7" t="s">
        <v>1715</v>
      </c>
      <c r="D845" s="1" t="s">
        <v>664</v>
      </c>
      <c r="E845" s="2" t="s">
        <v>1679</v>
      </c>
      <c r="F845" s="7" t="s">
        <v>1716</v>
      </c>
      <c r="G845" s="11">
        <v>7895</v>
      </c>
      <c r="H845" s="17">
        <f t="shared" si="58"/>
        <v>8289.75</v>
      </c>
      <c r="I845" s="17">
        <f t="shared" si="59"/>
        <v>8704.2375000000011</v>
      </c>
      <c r="J845" s="112">
        <f t="shared" si="60"/>
        <v>9400.576500000001</v>
      </c>
      <c r="K845" s="112">
        <v>9400.576500000001</v>
      </c>
      <c r="L845" s="17">
        <f t="shared" si="57"/>
        <v>5602.7435940000005</v>
      </c>
      <c r="M845" t="s">
        <v>3246</v>
      </c>
    </row>
    <row r="846" spans="2:13" x14ac:dyDescent="0.25">
      <c r="B846" s="6" t="s">
        <v>1629</v>
      </c>
      <c r="C846" s="7" t="s">
        <v>1715</v>
      </c>
      <c r="D846" s="1" t="s">
        <v>665</v>
      </c>
      <c r="E846" s="2" t="s">
        <v>1680</v>
      </c>
      <c r="F846" s="7" t="s">
        <v>1716</v>
      </c>
      <c r="G846" s="11">
        <v>7996</v>
      </c>
      <c r="H846" s="17">
        <f t="shared" si="58"/>
        <v>8395.8000000000011</v>
      </c>
      <c r="I846" s="17">
        <f t="shared" si="59"/>
        <v>8815.590000000002</v>
      </c>
      <c r="J846" s="112">
        <f t="shared" si="60"/>
        <v>9520.8372000000036</v>
      </c>
      <c r="K846" s="112">
        <v>9520.8372000000036</v>
      </c>
      <c r="L846" s="17">
        <f t="shared" si="57"/>
        <v>5674.4189712000016</v>
      </c>
      <c r="M846" t="s">
        <v>3246</v>
      </c>
    </row>
    <row r="847" spans="2:13" x14ac:dyDescent="0.25">
      <c r="B847" s="6" t="s">
        <v>1630</v>
      </c>
      <c r="C847" s="7" t="s">
        <v>1715</v>
      </c>
      <c r="D847" s="1" t="s">
        <v>666</v>
      </c>
      <c r="E847" s="2" t="s">
        <v>1681</v>
      </c>
      <c r="F847" s="7" t="s">
        <v>1716</v>
      </c>
      <c r="G847" s="11">
        <v>8030</v>
      </c>
      <c r="H847" s="17">
        <f t="shared" si="58"/>
        <v>8431.5</v>
      </c>
      <c r="I847" s="17">
        <f t="shared" si="59"/>
        <v>8853.0750000000007</v>
      </c>
      <c r="J847" s="112">
        <f t="shared" si="60"/>
        <v>9561.3210000000017</v>
      </c>
      <c r="K847" s="112">
        <v>9561.3210000000017</v>
      </c>
      <c r="L847" s="17">
        <f t="shared" si="57"/>
        <v>5698.547316000001</v>
      </c>
      <c r="M847" t="s">
        <v>3246</v>
      </c>
    </row>
    <row r="848" spans="2:13" x14ac:dyDescent="0.25">
      <c r="B848" s="6" t="s">
        <v>1631</v>
      </c>
      <c r="C848" s="7" t="s">
        <v>1715</v>
      </c>
      <c r="D848" s="1" t="s">
        <v>667</v>
      </c>
      <c r="E848" s="2" t="s">
        <v>1682</v>
      </c>
      <c r="F848" s="7" t="s">
        <v>1716</v>
      </c>
      <c r="G848" s="11">
        <v>8243</v>
      </c>
      <c r="H848" s="17">
        <f t="shared" si="58"/>
        <v>8655.15</v>
      </c>
      <c r="I848" s="17">
        <f t="shared" si="59"/>
        <v>9087.9074999999993</v>
      </c>
      <c r="J848" s="112">
        <f t="shared" si="60"/>
        <v>9814.9400999999998</v>
      </c>
      <c r="K848" s="112">
        <v>9814.9400999999998</v>
      </c>
      <c r="L848" s="17">
        <f t="shared" si="57"/>
        <v>5849.7042996</v>
      </c>
      <c r="M848" t="s">
        <v>3246</v>
      </c>
    </row>
    <row r="849" spans="2:13" x14ac:dyDescent="0.25">
      <c r="B849" s="6" t="s">
        <v>1632</v>
      </c>
      <c r="C849" s="7" t="s">
        <v>1715</v>
      </c>
      <c r="D849" s="1" t="s">
        <v>668</v>
      </c>
      <c r="E849" s="2" t="s">
        <v>1683</v>
      </c>
      <c r="F849" s="7" t="s">
        <v>1716</v>
      </c>
      <c r="G849" s="11">
        <v>8336</v>
      </c>
      <c r="H849" s="17">
        <f t="shared" si="58"/>
        <v>8752.8000000000011</v>
      </c>
      <c r="I849" s="17">
        <f t="shared" si="59"/>
        <v>9190.4400000000023</v>
      </c>
      <c r="J849" s="112">
        <f t="shared" si="60"/>
        <v>9925.6752000000033</v>
      </c>
      <c r="K849" s="112">
        <v>9925.6752000000033</v>
      </c>
      <c r="L849" s="17">
        <f t="shared" si="57"/>
        <v>5915.7024192000017</v>
      </c>
      <c r="M849" t="s">
        <v>3246</v>
      </c>
    </row>
    <row r="850" spans="2:13" x14ac:dyDescent="0.25">
      <c r="B850" s="6" t="s">
        <v>1633</v>
      </c>
      <c r="C850" s="7" t="s">
        <v>1715</v>
      </c>
      <c r="D850" s="1" t="s">
        <v>669</v>
      </c>
      <c r="E850" s="2" t="s">
        <v>1684</v>
      </c>
      <c r="F850" s="7" t="s">
        <v>1716</v>
      </c>
      <c r="G850" s="11">
        <v>8630</v>
      </c>
      <c r="H850" s="17">
        <f t="shared" si="58"/>
        <v>9061.5</v>
      </c>
      <c r="I850" s="17">
        <f t="shared" si="59"/>
        <v>9514.5750000000007</v>
      </c>
      <c r="J850" s="112">
        <f t="shared" si="60"/>
        <v>10275.741000000002</v>
      </c>
      <c r="K850" s="112">
        <v>10275.741000000002</v>
      </c>
      <c r="L850" s="17">
        <f t="shared" si="57"/>
        <v>6124.341636000001</v>
      </c>
      <c r="M850" t="s">
        <v>3246</v>
      </c>
    </row>
    <row r="851" spans="2:13" x14ac:dyDescent="0.25">
      <c r="B851" s="6" t="s">
        <v>1634</v>
      </c>
      <c r="C851" s="7" t="s">
        <v>1715</v>
      </c>
      <c r="D851" s="1" t="s">
        <v>670</v>
      </c>
      <c r="E851" s="2" t="s">
        <v>1685</v>
      </c>
      <c r="F851" s="7" t="s">
        <v>1716</v>
      </c>
      <c r="G851" s="11">
        <v>8723</v>
      </c>
      <c r="H851" s="17">
        <f t="shared" si="58"/>
        <v>9159.15</v>
      </c>
      <c r="I851" s="17">
        <f t="shared" si="59"/>
        <v>9617.1075000000001</v>
      </c>
      <c r="J851" s="112">
        <f t="shared" si="60"/>
        <v>10386.4761</v>
      </c>
      <c r="K851" s="112">
        <v>10386.4761</v>
      </c>
      <c r="L851" s="17">
        <f t="shared" si="57"/>
        <v>6190.3397556</v>
      </c>
      <c r="M851" t="s">
        <v>3246</v>
      </c>
    </row>
    <row r="852" spans="2:13" x14ac:dyDescent="0.25">
      <c r="B852" s="6" t="s">
        <v>1635</v>
      </c>
      <c r="C852" s="7" t="s">
        <v>1715</v>
      </c>
      <c r="D852" s="1" t="s">
        <v>671</v>
      </c>
      <c r="E852" s="2" t="s">
        <v>1686</v>
      </c>
      <c r="F852" s="7" t="s">
        <v>1716</v>
      </c>
      <c r="G852" s="11">
        <v>8874</v>
      </c>
      <c r="H852" s="17">
        <f t="shared" si="58"/>
        <v>9317.7000000000007</v>
      </c>
      <c r="I852" s="17">
        <f t="shared" si="59"/>
        <v>9783.5850000000009</v>
      </c>
      <c r="J852" s="112">
        <f t="shared" si="60"/>
        <v>10566.271800000002</v>
      </c>
      <c r="K852" s="112">
        <v>10566.271800000002</v>
      </c>
      <c r="L852" s="17">
        <f t="shared" si="57"/>
        <v>6297.4979928000012</v>
      </c>
      <c r="M852" t="s">
        <v>3246</v>
      </c>
    </row>
    <row r="853" spans="2:13" x14ac:dyDescent="0.25">
      <c r="B853" s="6" t="s">
        <v>1636</v>
      </c>
      <c r="C853" s="7" t="s">
        <v>1715</v>
      </c>
      <c r="D853" s="1" t="s">
        <v>672</v>
      </c>
      <c r="E853" s="2" t="s">
        <v>1687</v>
      </c>
      <c r="F853" s="7" t="s">
        <v>1716</v>
      </c>
      <c r="G853" s="11">
        <v>9025</v>
      </c>
      <c r="H853" s="17">
        <f t="shared" si="58"/>
        <v>9476.25</v>
      </c>
      <c r="I853" s="17">
        <f t="shared" si="59"/>
        <v>9950.0625</v>
      </c>
      <c r="J853" s="112">
        <f t="shared" si="60"/>
        <v>10746.067500000001</v>
      </c>
      <c r="K853" s="112">
        <v>10746.067500000001</v>
      </c>
      <c r="L853" s="17">
        <f t="shared" si="57"/>
        <v>6404.6562300000005</v>
      </c>
      <c r="M853" t="s">
        <v>3246</v>
      </c>
    </row>
    <row r="854" spans="2:13" x14ac:dyDescent="0.25">
      <c r="B854" s="6" t="s">
        <v>1637</v>
      </c>
      <c r="C854" s="7" t="s">
        <v>1715</v>
      </c>
      <c r="D854" s="1" t="s">
        <v>673</v>
      </c>
      <c r="E854" s="2" t="s">
        <v>1688</v>
      </c>
      <c r="F854" s="7" t="s">
        <v>1716</v>
      </c>
      <c r="G854" s="11">
        <v>9109</v>
      </c>
      <c r="H854" s="17">
        <f t="shared" si="58"/>
        <v>9564.4500000000007</v>
      </c>
      <c r="I854" s="17">
        <f t="shared" si="59"/>
        <v>10042.672500000001</v>
      </c>
      <c r="J854" s="112">
        <f t="shared" si="60"/>
        <v>10846.086300000001</v>
      </c>
      <c r="K854" s="112">
        <v>10846.086300000001</v>
      </c>
      <c r="L854" s="17">
        <f t="shared" si="57"/>
        <v>6464.2674348</v>
      </c>
      <c r="M854" t="s">
        <v>3246</v>
      </c>
    </row>
    <row r="855" spans="2:13" x14ac:dyDescent="0.25">
      <c r="B855" s="6" t="s">
        <v>1638</v>
      </c>
      <c r="C855" s="7" t="s">
        <v>1715</v>
      </c>
      <c r="D855" s="1" t="s">
        <v>674</v>
      </c>
      <c r="E855" s="2" t="s">
        <v>1689</v>
      </c>
      <c r="F855" s="7" t="s">
        <v>1716</v>
      </c>
      <c r="G855" s="11">
        <v>8069</v>
      </c>
      <c r="H855" s="17">
        <f t="shared" si="58"/>
        <v>8472.4500000000007</v>
      </c>
      <c r="I855" s="17">
        <f t="shared" si="59"/>
        <v>8896.072500000002</v>
      </c>
      <c r="J855" s="112">
        <f t="shared" si="60"/>
        <v>9607.7583000000031</v>
      </c>
      <c r="K855" s="112">
        <v>9607.7583000000031</v>
      </c>
      <c r="L855" s="17">
        <f t="shared" si="57"/>
        <v>5726.2239468000016</v>
      </c>
      <c r="M855" t="s">
        <v>3246</v>
      </c>
    </row>
    <row r="856" spans="2:13" x14ac:dyDescent="0.25">
      <c r="B856" s="6" t="s">
        <v>1639</v>
      </c>
      <c r="C856" s="7" t="s">
        <v>1715</v>
      </c>
      <c r="D856" s="1" t="s">
        <v>675</v>
      </c>
      <c r="E856" s="2" t="s">
        <v>1690</v>
      </c>
      <c r="F856" s="7" t="s">
        <v>1716</v>
      </c>
      <c r="G856" s="11">
        <v>8207</v>
      </c>
      <c r="H856" s="17">
        <f t="shared" si="58"/>
        <v>8617.35</v>
      </c>
      <c r="I856" s="17">
        <f t="shared" si="59"/>
        <v>9048.2175000000007</v>
      </c>
      <c r="J856" s="112">
        <f t="shared" si="60"/>
        <v>9772.0749000000014</v>
      </c>
      <c r="K856" s="112">
        <v>9772.0749000000014</v>
      </c>
      <c r="L856" s="17">
        <f t="shared" si="57"/>
        <v>5824.1566404000005</v>
      </c>
      <c r="M856" t="s">
        <v>3246</v>
      </c>
    </row>
    <row r="857" spans="2:13" x14ac:dyDescent="0.25">
      <c r="B857" s="6" t="s">
        <v>1640</v>
      </c>
      <c r="C857" s="7" t="s">
        <v>1715</v>
      </c>
      <c r="D857" s="1" t="s">
        <v>676</v>
      </c>
      <c r="E857" s="2" t="s">
        <v>1691</v>
      </c>
      <c r="F857" s="7" t="s">
        <v>1716</v>
      </c>
      <c r="G857" s="11">
        <v>8342</v>
      </c>
      <c r="H857" s="17">
        <f t="shared" si="58"/>
        <v>8759.1</v>
      </c>
      <c r="I857" s="17">
        <f t="shared" si="59"/>
        <v>9197.0550000000003</v>
      </c>
      <c r="J857" s="112">
        <f t="shared" si="60"/>
        <v>9932.8194000000003</v>
      </c>
      <c r="K857" s="112">
        <v>9932.8194000000003</v>
      </c>
      <c r="L857" s="17">
        <f t="shared" si="57"/>
        <v>5919.9603624000001</v>
      </c>
      <c r="M857" t="s">
        <v>3246</v>
      </c>
    </row>
    <row r="858" spans="2:13" x14ac:dyDescent="0.25">
      <c r="B858" s="6" t="s">
        <v>1641</v>
      </c>
      <c r="C858" s="7" t="s">
        <v>1715</v>
      </c>
      <c r="D858" s="1" t="s">
        <v>677</v>
      </c>
      <c r="E858" s="2" t="s">
        <v>1692</v>
      </c>
      <c r="F858" s="7" t="s">
        <v>1716</v>
      </c>
      <c r="G858" s="11">
        <v>8476</v>
      </c>
      <c r="H858" s="17">
        <f t="shared" si="58"/>
        <v>8899.8000000000011</v>
      </c>
      <c r="I858" s="17">
        <f t="shared" si="59"/>
        <v>9344.7900000000009</v>
      </c>
      <c r="J858" s="112">
        <f t="shared" si="60"/>
        <v>10092.373200000002</v>
      </c>
      <c r="K858" s="112">
        <v>10092.373200000002</v>
      </c>
      <c r="L858" s="17">
        <f t="shared" si="57"/>
        <v>6015.0544272000006</v>
      </c>
      <c r="M858" t="s">
        <v>3246</v>
      </c>
    </row>
    <row r="859" spans="2:13" x14ac:dyDescent="0.25">
      <c r="B859" s="6" t="s">
        <v>1642</v>
      </c>
      <c r="C859" s="7" t="s">
        <v>1715</v>
      </c>
      <c r="D859" s="1" t="s">
        <v>678</v>
      </c>
      <c r="E859" s="2" t="s">
        <v>1693</v>
      </c>
      <c r="F859" s="7" t="s">
        <v>1716</v>
      </c>
      <c r="G859" s="11">
        <v>8648</v>
      </c>
      <c r="H859" s="17">
        <f t="shared" si="58"/>
        <v>9080.4</v>
      </c>
      <c r="I859" s="17">
        <f t="shared" si="59"/>
        <v>9534.42</v>
      </c>
      <c r="J859" s="112">
        <f t="shared" si="60"/>
        <v>10297.1736</v>
      </c>
      <c r="K859" s="112">
        <v>10297.1736</v>
      </c>
      <c r="L859" s="17">
        <f t="shared" si="57"/>
        <v>6137.1154655999999</v>
      </c>
      <c r="M859" t="s">
        <v>3246</v>
      </c>
    </row>
    <row r="860" spans="2:13" x14ac:dyDescent="0.25">
      <c r="B860" s="6" t="s">
        <v>1643</v>
      </c>
      <c r="C860" s="7" t="s">
        <v>1715</v>
      </c>
      <c r="D860" s="1" t="s">
        <v>679</v>
      </c>
      <c r="E860" s="2" t="s">
        <v>1694</v>
      </c>
      <c r="F860" s="7" t="s">
        <v>1716</v>
      </c>
      <c r="G860" s="11">
        <v>8577</v>
      </c>
      <c r="H860" s="17">
        <f t="shared" si="58"/>
        <v>9005.85</v>
      </c>
      <c r="I860" s="17">
        <f t="shared" si="59"/>
        <v>9456.1424999999999</v>
      </c>
      <c r="J860" s="112">
        <f t="shared" si="60"/>
        <v>10212.633900000001</v>
      </c>
      <c r="K860" s="112">
        <v>10212.633900000001</v>
      </c>
      <c r="L860" s="17">
        <f t="shared" si="57"/>
        <v>6086.7298043999999</v>
      </c>
      <c r="M860" t="s">
        <v>3246</v>
      </c>
    </row>
    <row r="861" spans="2:13" x14ac:dyDescent="0.25">
      <c r="B861" s="6" t="s">
        <v>1644</v>
      </c>
      <c r="C861" s="7" t="s">
        <v>1715</v>
      </c>
      <c r="D861" s="1" t="s">
        <v>680</v>
      </c>
      <c r="E861" s="2" t="s">
        <v>1695</v>
      </c>
      <c r="F861" s="7" t="s">
        <v>1716</v>
      </c>
      <c r="G861" s="11">
        <v>8694</v>
      </c>
      <c r="H861" s="17">
        <f t="shared" si="58"/>
        <v>9128.7000000000007</v>
      </c>
      <c r="I861" s="17">
        <f t="shared" si="59"/>
        <v>9585.135000000002</v>
      </c>
      <c r="J861" s="112">
        <f t="shared" si="60"/>
        <v>10351.945800000003</v>
      </c>
      <c r="K861" s="112">
        <v>10351.945800000003</v>
      </c>
      <c r="L861" s="17">
        <f t="shared" si="57"/>
        <v>6169.7596968000016</v>
      </c>
      <c r="M861" t="s">
        <v>3246</v>
      </c>
    </row>
    <row r="862" spans="2:13" x14ac:dyDescent="0.25">
      <c r="B862" s="6" t="s">
        <v>1645</v>
      </c>
      <c r="C862" s="7" t="s">
        <v>1715</v>
      </c>
      <c r="D862" s="1" t="s">
        <v>681</v>
      </c>
      <c r="E862" s="2" t="s">
        <v>1696</v>
      </c>
      <c r="F862" s="7" t="s">
        <v>1716</v>
      </c>
      <c r="G862" s="11">
        <v>8757</v>
      </c>
      <c r="H862" s="17">
        <f t="shared" si="58"/>
        <v>9194.85</v>
      </c>
      <c r="I862" s="17">
        <f t="shared" si="59"/>
        <v>9654.5925000000007</v>
      </c>
      <c r="J862" s="112">
        <f t="shared" si="60"/>
        <v>10426.959900000002</v>
      </c>
      <c r="K862" s="112">
        <v>10426.959900000002</v>
      </c>
      <c r="L862" s="17">
        <f t="shared" si="57"/>
        <v>6214.4681004000004</v>
      </c>
      <c r="M862" t="s">
        <v>3246</v>
      </c>
    </row>
    <row r="863" spans="2:13" x14ac:dyDescent="0.25">
      <c r="B863" s="6" t="s">
        <v>1646</v>
      </c>
      <c r="C863" s="7" t="s">
        <v>1715</v>
      </c>
      <c r="D863" s="1" t="s">
        <v>682</v>
      </c>
      <c r="E863" s="2" t="s">
        <v>1697</v>
      </c>
      <c r="F863" s="7" t="s">
        <v>1716</v>
      </c>
      <c r="G863" s="11">
        <v>8909</v>
      </c>
      <c r="H863" s="17">
        <f t="shared" si="58"/>
        <v>9354.4500000000007</v>
      </c>
      <c r="I863" s="17">
        <f t="shared" si="59"/>
        <v>9822.1725000000006</v>
      </c>
      <c r="J863" s="112">
        <f t="shared" si="60"/>
        <v>10607.946300000001</v>
      </c>
      <c r="K863" s="112">
        <v>10607.946300000001</v>
      </c>
      <c r="L863" s="17">
        <f t="shared" si="57"/>
        <v>6322.3359948000007</v>
      </c>
      <c r="M863" t="s">
        <v>3246</v>
      </c>
    </row>
    <row r="864" spans="2:13" x14ac:dyDescent="0.25">
      <c r="B864" s="6" t="s">
        <v>1647</v>
      </c>
      <c r="C864" s="7" t="s">
        <v>1715</v>
      </c>
      <c r="D864" s="1" t="s">
        <v>683</v>
      </c>
      <c r="E864" s="2" t="s">
        <v>1698</v>
      </c>
      <c r="F864" s="7" t="s">
        <v>1716</v>
      </c>
      <c r="G864" s="11">
        <v>9093</v>
      </c>
      <c r="H864" s="17">
        <f t="shared" si="58"/>
        <v>9547.65</v>
      </c>
      <c r="I864" s="17">
        <f t="shared" si="59"/>
        <v>10025.032499999999</v>
      </c>
      <c r="J864" s="112">
        <f t="shared" si="60"/>
        <v>10827.035099999999</v>
      </c>
      <c r="K864" s="112">
        <v>10827.035099999999</v>
      </c>
      <c r="L864" s="17">
        <f t="shared" si="57"/>
        <v>6452.9129195999994</v>
      </c>
      <c r="M864" t="s">
        <v>3246</v>
      </c>
    </row>
    <row r="865" spans="2:13" x14ac:dyDescent="0.25">
      <c r="B865" s="6" t="s">
        <v>1648</v>
      </c>
      <c r="C865" s="7" t="s">
        <v>1715</v>
      </c>
      <c r="D865" s="1" t="s">
        <v>684</v>
      </c>
      <c r="E865" s="2" t="s">
        <v>1699</v>
      </c>
      <c r="F865" s="7" t="s">
        <v>1716</v>
      </c>
      <c r="G865" s="11">
        <v>9140</v>
      </c>
      <c r="H865" s="17">
        <f t="shared" si="58"/>
        <v>9597</v>
      </c>
      <c r="I865" s="17">
        <f t="shared" si="59"/>
        <v>10076.85</v>
      </c>
      <c r="J865" s="112">
        <f t="shared" si="60"/>
        <v>10882.998000000001</v>
      </c>
      <c r="K865" s="112">
        <v>10882.998000000001</v>
      </c>
      <c r="L865" s="17">
        <f t="shared" si="57"/>
        <v>6486.2668080000003</v>
      </c>
      <c r="M865" t="s">
        <v>3246</v>
      </c>
    </row>
    <row r="866" spans="2:13" x14ac:dyDescent="0.25">
      <c r="B866" s="6" t="s">
        <v>1649</v>
      </c>
      <c r="C866" s="7" t="s">
        <v>1715</v>
      </c>
      <c r="D866" s="1" t="s">
        <v>685</v>
      </c>
      <c r="E866" s="2" t="s">
        <v>1700</v>
      </c>
      <c r="F866" s="7" t="s">
        <v>1716</v>
      </c>
      <c r="G866" s="11">
        <v>9333</v>
      </c>
      <c r="H866" s="17">
        <f t="shared" si="58"/>
        <v>9799.65</v>
      </c>
      <c r="I866" s="17">
        <f t="shared" si="59"/>
        <v>10289.6325</v>
      </c>
      <c r="J866" s="112">
        <f t="shared" si="60"/>
        <v>11112.803100000001</v>
      </c>
      <c r="K866" s="112">
        <v>11112.803100000001</v>
      </c>
      <c r="L866" s="17">
        <f t="shared" si="57"/>
        <v>6623.2306476000003</v>
      </c>
      <c r="M866" t="s">
        <v>3246</v>
      </c>
    </row>
    <row r="867" spans="2:13" x14ac:dyDescent="0.25">
      <c r="B867" s="6" t="s">
        <v>1650</v>
      </c>
      <c r="C867" s="7" t="s">
        <v>1715</v>
      </c>
      <c r="D867" s="1" t="s">
        <v>686</v>
      </c>
      <c r="E867" s="2" t="s">
        <v>1701</v>
      </c>
      <c r="F867" s="7" t="s">
        <v>1716</v>
      </c>
      <c r="G867" s="11">
        <v>9408</v>
      </c>
      <c r="H867" s="17">
        <f t="shared" si="58"/>
        <v>9878.4</v>
      </c>
      <c r="I867" s="17">
        <f t="shared" si="59"/>
        <v>10372.32</v>
      </c>
      <c r="J867" s="112">
        <f t="shared" si="60"/>
        <v>11202.105600000001</v>
      </c>
      <c r="K867" s="112">
        <v>11202.105600000001</v>
      </c>
      <c r="L867" s="17">
        <f t="shared" si="57"/>
        <v>6676.4549376000004</v>
      </c>
      <c r="M867" t="s">
        <v>3246</v>
      </c>
    </row>
    <row r="868" spans="2:13" x14ac:dyDescent="0.25">
      <c r="B868" s="6" t="s">
        <v>1651</v>
      </c>
      <c r="C868" s="7" t="s">
        <v>1715</v>
      </c>
      <c r="D868" s="1" t="s">
        <v>687</v>
      </c>
      <c r="E868" s="2" t="s">
        <v>1702</v>
      </c>
      <c r="F868" s="7" t="s">
        <v>1716</v>
      </c>
      <c r="G868" s="11">
        <v>8178</v>
      </c>
      <c r="H868" s="17">
        <f t="shared" si="58"/>
        <v>8586.9</v>
      </c>
      <c r="I868" s="17">
        <f t="shared" si="59"/>
        <v>9016.2450000000008</v>
      </c>
      <c r="J868" s="112">
        <f t="shared" si="60"/>
        <v>9737.5446000000011</v>
      </c>
      <c r="K868" s="112">
        <v>9737.5446000000011</v>
      </c>
      <c r="L868" s="17">
        <f t="shared" si="57"/>
        <v>5803.5765816000003</v>
      </c>
      <c r="M868" t="s">
        <v>3246</v>
      </c>
    </row>
    <row r="869" spans="2:13" x14ac:dyDescent="0.25">
      <c r="B869" s="6" t="s">
        <v>1652</v>
      </c>
      <c r="C869" s="7" t="s">
        <v>1715</v>
      </c>
      <c r="D869" s="1" t="s">
        <v>688</v>
      </c>
      <c r="E869" s="2" t="s">
        <v>1703</v>
      </c>
      <c r="F869" s="7" t="s">
        <v>1716</v>
      </c>
      <c r="G869" s="11">
        <v>8316</v>
      </c>
      <c r="H869" s="17">
        <f t="shared" si="58"/>
        <v>8731.8000000000011</v>
      </c>
      <c r="I869" s="17">
        <f t="shared" si="59"/>
        <v>9168.3900000000012</v>
      </c>
      <c r="J869" s="112">
        <f t="shared" si="60"/>
        <v>9901.8612000000012</v>
      </c>
      <c r="K869" s="112">
        <v>9901.8612000000012</v>
      </c>
      <c r="L869" s="17">
        <f t="shared" si="57"/>
        <v>5901.5092752</v>
      </c>
      <c r="M869" t="s">
        <v>3246</v>
      </c>
    </row>
    <row r="870" spans="2:13" x14ac:dyDescent="0.25">
      <c r="B870" s="6" t="s">
        <v>1653</v>
      </c>
      <c r="C870" s="7" t="s">
        <v>1715</v>
      </c>
      <c r="D870" s="1" t="s">
        <v>689</v>
      </c>
      <c r="E870" s="2" t="s">
        <v>1704</v>
      </c>
      <c r="F870" s="7" t="s">
        <v>1716</v>
      </c>
      <c r="G870" s="11">
        <v>8451</v>
      </c>
      <c r="H870" s="17">
        <f t="shared" si="58"/>
        <v>8873.5500000000011</v>
      </c>
      <c r="I870" s="17">
        <f t="shared" si="59"/>
        <v>9317.2275000000009</v>
      </c>
      <c r="J870" s="112">
        <f t="shared" si="60"/>
        <v>10062.605700000002</v>
      </c>
      <c r="K870" s="112">
        <v>10062.605700000002</v>
      </c>
      <c r="L870" s="17">
        <f t="shared" si="57"/>
        <v>5997.3129972000006</v>
      </c>
      <c r="M870" t="s">
        <v>3246</v>
      </c>
    </row>
    <row r="871" spans="2:13" x14ac:dyDescent="0.25">
      <c r="B871" s="6" t="s">
        <v>1654</v>
      </c>
      <c r="C871" s="7" t="s">
        <v>1715</v>
      </c>
      <c r="D871" s="1" t="s">
        <v>690</v>
      </c>
      <c r="E871" s="2" t="s">
        <v>1705</v>
      </c>
      <c r="F871" s="7" t="s">
        <v>1716</v>
      </c>
      <c r="G871" s="11">
        <v>8585</v>
      </c>
      <c r="H871" s="17">
        <f t="shared" si="58"/>
        <v>9014.25</v>
      </c>
      <c r="I871" s="17">
        <f t="shared" si="59"/>
        <v>9464.9624999999996</v>
      </c>
      <c r="J871" s="112">
        <f t="shared" si="60"/>
        <v>10222.1595</v>
      </c>
      <c r="K871" s="112">
        <v>10222.1595</v>
      </c>
      <c r="L871" s="17">
        <f t="shared" si="57"/>
        <v>6092.4070619999993</v>
      </c>
      <c r="M871" t="s">
        <v>3246</v>
      </c>
    </row>
    <row r="872" spans="2:13" x14ac:dyDescent="0.25">
      <c r="B872" s="6" t="s">
        <v>1655</v>
      </c>
      <c r="C872" s="7" t="s">
        <v>1715</v>
      </c>
      <c r="D872" s="1" t="s">
        <v>691</v>
      </c>
      <c r="E872" s="2" t="s">
        <v>1706</v>
      </c>
      <c r="F872" s="7" t="s">
        <v>1716</v>
      </c>
      <c r="G872" s="11">
        <v>8657</v>
      </c>
      <c r="H872" s="17">
        <f t="shared" si="58"/>
        <v>9089.85</v>
      </c>
      <c r="I872" s="17">
        <f t="shared" si="59"/>
        <v>9544.3425000000007</v>
      </c>
      <c r="J872" s="112">
        <f t="shared" si="60"/>
        <v>10307.889900000002</v>
      </c>
      <c r="K872" s="112">
        <v>10307.889900000002</v>
      </c>
      <c r="L872" s="17">
        <f t="shared" si="57"/>
        <v>6143.5023804000011</v>
      </c>
      <c r="M872" t="s">
        <v>3246</v>
      </c>
    </row>
    <row r="873" spans="2:13" x14ac:dyDescent="0.25">
      <c r="B873" s="6" t="s">
        <v>1656</v>
      </c>
      <c r="C873" s="7" t="s">
        <v>1715</v>
      </c>
      <c r="D873" s="1" t="s">
        <v>692</v>
      </c>
      <c r="E873" s="2" t="s">
        <v>1707</v>
      </c>
      <c r="F873" s="7" t="s">
        <v>1716</v>
      </c>
      <c r="G873" s="11">
        <v>8686</v>
      </c>
      <c r="H873" s="17">
        <f t="shared" si="58"/>
        <v>9120.3000000000011</v>
      </c>
      <c r="I873" s="17">
        <f t="shared" si="59"/>
        <v>9576.3150000000023</v>
      </c>
      <c r="J873" s="112">
        <f t="shared" si="60"/>
        <v>10342.420200000002</v>
      </c>
      <c r="K873" s="112">
        <v>10342.420200000002</v>
      </c>
      <c r="L873" s="17">
        <f t="shared" si="57"/>
        <v>6164.0824392000013</v>
      </c>
      <c r="M873" t="s">
        <v>3246</v>
      </c>
    </row>
    <row r="874" spans="2:13" x14ac:dyDescent="0.25">
      <c r="B874" s="6" t="s">
        <v>1657</v>
      </c>
      <c r="C874" s="7" t="s">
        <v>1715</v>
      </c>
      <c r="D874" s="1" t="s">
        <v>693</v>
      </c>
      <c r="E874" s="2" t="s">
        <v>1708</v>
      </c>
      <c r="F874" s="7" t="s">
        <v>1716</v>
      </c>
      <c r="G874" s="11">
        <v>8804</v>
      </c>
      <c r="H874" s="17">
        <f t="shared" si="58"/>
        <v>9244.2000000000007</v>
      </c>
      <c r="I874" s="17">
        <f t="shared" si="59"/>
        <v>9706.4100000000017</v>
      </c>
      <c r="J874" s="112">
        <f t="shared" si="60"/>
        <v>10482.922800000002</v>
      </c>
      <c r="K874" s="112">
        <v>10482.922800000002</v>
      </c>
      <c r="L874" s="17">
        <f t="shared" si="57"/>
        <v>6247.8219888000012</v>
      </c>
      <c r="M874" t="s">
        <v>3246</v>
      </c>
    </row>
    <row r="875" spans="2:13" x14ac:dyDescent="0.25">
      <c r="B875" s="6" t="s">
        <v>1658</v>
      </c>
      <c r="C875" s="7" t="s">
        <v>1715</v>
      </c>
      <c r="D875" s="1" t="s">
        <v>694</v>
      </c>
      <c r="E875" s="2" t="s">
        <v>1709</v>
      </c>
      <c r="F875" s="7" t="s">
        <v>1716</v>
      </c>
      <c r="G875" s="11">
        <v>8867</v>
      </c>
      <c r="H875" s="17">
        <f t="shared" si="58"/>
        <v>9310.35</v>
      </c>
      <c r="I875" s="17">
        <f t="shared" si="59"/>
        <v>9775.8675000000003</v>
      </c>
      <c r="J875" s="112">
        <f t="shared" si="60"/>
        <v>10557.936900000001</v>
      </c>
      <c r="K875" s="112">
        <v>10557.936900000001</v>
      </c>
      <c r="L875" s="17">
        <f t="shared" si="57"/>
        <v>6292.5303924</v>
      </c>
      <c r="M875" t="s">
        <v>3246</v>
      </c>
    </row>
    <row r="876" spans="2:13" x14ac:dyDescent="0.25">
      <c r="B876" s="6" t="s">
        <v>1659</v>
      </c>
      <c r="C876" s="7" t="s">
        <v>1715</v>
      </c>
      <c r="D876" s="1" t="s">
        <v>695</v>
      </c>
      <c r="E876" s="2" t="s">
        <v>1710</v>
      </c>
      <c r="F876" s="7" t="s">
        <v>1716</v>
      </c>
      <c r="G876" s="11">
        <v>9018</v>
      </c>
      <c r="H876" s="17">
        <f t="shared" si="58"/>
        <v>9468.9</v>
      </c>
      <c r="I876" s="17">
        <f t="shared" si="59"/>
        <v>9942.3449999999993</v>
      </c>
      <c r="J876" s="112">
        <f t="shared" si="60"/>
        <v>10737.732599999999</v>
      </c>
      <c r="K876" s="112">
        <v>10737.732599999999</v>
      </c>
      <c r="L876" s="17">
        <f t="shared" si="57"/>
        <v>6399.6886295999993</v>
      </c>
      <c r="M876" t="s">
        <v>3246</v>
      </c>
    </row>
    <row r="877" spans="2:13" x14ac:dyDescent="0.25">
      <c r="B877" s="6" t="s">
        <v>1660</v>
      </c>
      <c r="C877" s="7" t="s">
        <v>1715</v>
      </c>
      <c r="D877" s="1" t="s">
        <v>696</v>
      </c>
      <c r="E877" s="2" t="s">
        <v>1711</v>
      </c>
      <c r="F877" s="7" t="s">
        <v>1716</v>
      </c>
      <c r="G877" s="11">
        <v>9203</v>
      </c>
      <c r="H877" s="17">
        <f t="shared" si="58"/>
        <v>9663.15</v>
      </c>
      <c r="I877" s="17">
        <f t="shared" si="59"/>
        <v>10146.307500000001</v>
      </c>
      <c r="J877" s="112">
        <f t="shared" si="60"/>
        <v>10958.012100000002</v>
      </c>
      <c r="K877" s="112">
        <v>10958.012100000002</v>
      </c>
      <c r="L877" s="17">
        <f t="shared" si="57"/>
        <v>6530.9752116000009</v>
      </c>
      <c r="M877" t="s">
        <v>3246</v>
      </c>
    </row>
    <row r="878" spans="2:13" x14ac:dyDescent="0.25">
      <c r="B878" s="6" t="s">
        <v>1661</v>
      </c>
      <c r="C878" s="7" t="s">
        <v>1715</v>
      </c>
      <c r="D878" s="1" t="s">
        <v>697</v>
      </c>
      <c r="E878" s="2" t="s">
        <v>1712</v>
      </c>
      <c r="F878" s="7" t="s">
        <v>1716</v>
      </c>
      <c r="G878" s="11">
        <v>9249</v>
      </c>
      <c r="H878" s="17">
        <f t="shared" si="58"/>
        <v>9711.4500000000007</v>
      </c>
      <c r="I878" s="17">
        <f t="shared" si="59"/>
        <v>10197.022500000001</v>
      </c>
      <c r="J878" s="112">
        <f t="shared" si="60"/>
        <v>11012.784300000001</v>
      </c>
      <c r="K878" s="112">
        <v>11012.784300000001</v>
      </c>
      <c r="L878" s="17">
        <f t="shared" si="57"/>
        <v>6563.6194428000008</v>
      </c>
      <c r="M878" t="s">
        <v>3246</v>
      </c>
    </row>
    <row r="879" spans="2:13" x14ac:dyDescent="0.25">
      <c r="B879" s="6" t="s">
        <v>1662</v>
      </c>
      <c r="C879" s="7" t="s">
        <v>1715</v>
      </c>
      <c r="D879" s="1" t="s">
        <v>698</v>
      </c>
      <c r="E879" s="2" t="s">
        <v>1713</v>
      </c>
      <c r="F879" s="7" t="s">
        <v>1716</v>
      </c>
      <c r="G879" s="11">
        <v>9442</v>
      </c>
      <c r="H879" s="17">
        <f t="shared" si="58"/>
        <v>9914.1</v>
      </c>
      <c r="I879" s="17">
        <f t="shared" si="59"/>
        <v>10409.805</v>
      </c>
      <c r="J879" s="112">
        <f t="shared" si="60"/>
        <v>11242.589400000001</v>
      </c>
      <c r="K879" s="112">
        <v>11242.589400000001</v>
      </c>
      <c r="L879" s="17">
        <f t="shared" si="57"/>
        <v>6700.5832823999999</v>
      </c>
      <c r="M879" t="s">
        <v>3246</v>
      </c>
    </row>
    <row r="880" spans="2:13" x14ac:dyDescent="0.25">
      <c r="B880" s="6" t="s">
        <v>1663</v>
      </c>
      <c r="C880" s="7" t="s">
        <v>1715</v>
      </c>
      <c r="D880" s="1" t="s">
        <v>699</v>
      </c>
      <c r="E880" s="2" t="s">
        <v>1714</v>
      </c>
      <c r="F880" s="7" t="s">
        <v>1716</v>
      </c>
      <c r="G880" s="11">
        <v>9518</v>
      </c>
      <c r="H880" s="17">
        <f t="shared" si="58"/>
        <v>9993.9</v>
      </c>
      <c r="I880" s="17">
        <f t="shared" si="59"/>
        <v>10493.594999999999</v>
      </c>
      <c r="J880" s="112">
        <f t="shared" si="60"/>
        <v>11333.0826</v>
      </c>
      <c r="K880" s="112">
        <v>11333.0826</v>
      </c>
      <c r="L880" s="17">
        <f t="shared" si="57"/>
        <v>6754.5172295999992</v>
      </c>
      <c r="M880" t="s">
        <v>3246</v>
      </c>
    </row>
    <row r="881" spans="1:13" s="62" customFormat="1" x14ac:dyDescent="0.25">
      <c r="A881" s="62" t="s">
        <v>2930</v>
      </c>
      <c r="B881" s="75" t="s">
        <v>2903</v>
      </c>
      <c r="C881" s="63"/>
      <c r="D881" s="63"/>
      <c r="E881" s="64"/>
      <c r="F881" s="63"/>
      <c r="H881" s="17"/>
      <c r="I881" s="17">
        <f t="shared" si="59"/>
        <v>0</v>
      </c>
      <c r="J881" s="113"/>
      <c r="K881" s="70"/>
      <c r="L881" s="70"/>
    </row>
    <row r="882" spans="1:13" x14ac:dyDescent="0.25">
      <c r="A882" s="31"/>
      <c r="B882" s="26" t="s">
        <v>1771</v>
      </c>
      <c r="C882" s="15" t="s">
        <v>1862</v>
      </c>
      <c r="D882" s="1" t="s">
        <v>251</v>
      </c>
      <c r="E882" s="27" t="s">
        <v>1719</v>
      </c>
      <c r="F882" s="7" t="s">
        <v>702</v>
      </c>
      <c r="G882" s="11">
        <f>7194+46</f>
        <v>7240</v>
      </c>
      <c r="H882" s="17">
        <f t="shared" si="58"/>
        <v>7602</v>
      </c>
      <c r="I882" s="17">
        <f t="shared" si="59"/>
        <v>7982.1</v>
      </c>
      <c r="J882" s="112">
        <f t="shared" si="60"/>
        <v>8620.6680000000015</v>
      </c>
      <c r="K882" s="112">
        <v>8620.6680000000015</v>
      </c>
      <c r="L882" s="17">
        <f t="shared" si="57"/>
        <v>5137.9181280000003</v>
      </c>
      <c r="M882" t="s">
        <v>3246</v>
      </c>
    </row>
    <row r="883" spans="1:13" x14ac:dyDescent="0.25">
      <c r="A883" s="4"/>
      <c r="B883" s="6" t="s">
        <v>1772</v>
      </c>
      <c r="C883" s="15" t="s">
        <v>1862</v>
      </c>
      <c r="D883" s="1" t="s">
        <v>864</v>
      </c>
      <c r="E883" s="2" t="s">
        <v>1720</v>
      </c>
      <c r="F883" s="7" t="s">
        <v>702</v>
      </c>
      <c r="G883" s="11">
        <f>7412+46</f>
        <v>7458</v>
      </c>
      <c r="H883" s="17">
        <f t="shared" si="58"/>
        <v>7830.9000000000005</v>
      </c>
      <c r="I883" s="17">
        <f t="shared" si="59"/>
        <v>8222.4450000000015</v>
      </c>
      <c r="J883" s="112">
        <f t="shared" si="60"/>
        <v>8880.2406000000028</v>
      </c>
      <c r="K883" s="112">
        <v>8880.2406000000028</v>
      </c>
      <c r="L883" s="17">
        <f t="shared" si="57"/>
        <v>5292.6233976000012</v>
      </c>
      <c r="M883" t="s">
        <v>3246</v>
      </c>
    </row>
    <row r="884" spans="1:13" x14ac:dyDescent="0.25">
      <c r="B884" s="6" t="s">
        <v>1773</v>
      </c>
      <c r="C884" s="15" t="s">
        <v>1862</v>
      </c>
      <c r="D884" s="1" t="s">
        <v>865</v>
      </c>
      <c r="E884" s="2" t="s">
        <v>1721</v>
      </c>
      <c r="F884" s="7" t="s">
        <v>701</v>
      </c>
      <c r="G884" s="11">
        <f>8302+46</f>
        <v>8348</v>
      </c>
      <c r="H884" s="17">
        <f t="shared" si="58"/>
        <v>8765.4</v>
      </c>
      <c r="I884" s="17">
        <f t="shared" si="59"/>
        <v>9203.67</v>
      </c>
      <c r="J884" s="112">
        <f t="shared" si="60"/>
        <v>9939.963600000001</v>
      </c>
      <c r="K884" s="112">
        <v>9939.963600000001</v>
      </c>
      <c r="L884" s="17">
        <f t="shared" si="57"/>
        <v>5924.2183056000003</v>
      </c>
      <c r="M884" t="s">
        <v>3246</v>
      </c>
    </row>
    <row r="885" spans="1:13" x14ac:dyDescent="0.25">
      <c r="B885" s="6" t="s">
        <v>1774</v>
      </c>
      <c r="C885" s="15" t="s">
        <v>1862</v>
      </c>
      <c r="D885" s="1" t="s">
        <v>866</v>
      </c>
      <c r="E885" s="2" t="s">
        <v>1722</v>
      </c>
      <c r="F885" s="7" t="s">
        <v>701</v>
      </c>
      <c r="G885" s="11">
        <f>8520+46</f>
        <v>8566</v>
      </c>
      <c r="H885" s="17">
        <f t="shared" si="58"/>
        <v>8994.3000000000011</v>
      </c>
      <c r="I885" s="17">
        <f t="shared" si="59"/>
        <v>9444.0150000000012</v>
      </c>
      <c r="J885" s="112">
        <f t="shared" si="60"/>
        <v>10199.536200000002</v>
      </c>
      <c r="K885" s="112">
        <v>10199.536200000002</v>
      </c>
      <c r="L885" s="17">
        <f t="shared" si="57"/>
        <v>6078.9235752000013</v>
      </c>
      <c r="M885" t="s">
        <v>3246</v>
      </c>
    </row>
    <row r="886" spans="1:13" x14ac:dyDescent="0.25">
      <c r="B886" s="6" t="s">
        <v>1775</v>
      </c>
      <c r="C886" s="15" t="s">
        <v>1862</v>
      </c>
      <c r="D886" s="1" t="s">
        <v>867</v>
      </c>
      <c r="E886" s="2" t="s">
        <v>1723</v>
      </c>
      <c r="F886" s="7" t="s">
        <v>701</v>
      </c>
      <c r="G886" s="11">
        <f>46+9475</f>
        <v>9521</v>
      </c>
      <c r="H886" s="17">
        <f t="shared" si="58"/>
        <v>9997.0500000000011</v>
      </c>
      <c r="I886" s="17">
        <f t="shared" si="59"/>
        <v>10496.902500000002</v>
      </c>
      <c r="J886" s="112">
        <f t="shared" si="60"/>
        <v>11336.654700000003</v>
      </c>
      <c r="K886" s="112">
        <v>11336.654700000003</v>
      </c>
      <c r="L886" s="17">
        <f t="shared" si="57"/>
        <v>6756.6462012000011</v>
      </c>
      <c r="M886" t="s">
        <v>3246</v>
      </c>
    </row>
    <row r="887" spans="1:13" x14ac:dyDescent="0.25">
      <c r="B887" s="6" t="s">
        <v>1776</v>
      </c>
      <c r="C887" s="15" t="s">
        <v>1862</v>
      </c>
      <c r="D887" s="1" t="s">
        <v>868</v>
      </c>
      <c r="E887" s="2" t="s">
        <v>1724</v>
      </c>
      <c r="F887" s="7" t="s">
        <v>701</v>
      </c>
      <c r="G887" s="11">
        <f>46+9723</f>
        <v>9769</v>
      </c>
      <c r="H887" s="17">
        <f t="shared" si="58"/>
        <v>10257.450000000001</v>
      </c>
      <c r="I887" s="17">
        <f t="shared" si="59"/>
        <v>10770.322500000002</v>
      </c>
      <c r="J887" s="112">
        <f t="shared" si="60"/>
        <v>11631.948300000004</v>
      </c>
      <c r="K887" s="112">
        <v>11631.948300000004</v>
      </c>
      <c r="L887" s="17">
        <f t="shared" si="57"/>
        <v>6932.6411868000023</v>
      </c>
      <c r="M887" t="s">
        <v>3246</v>
      </c>
    </row>
    <row r="888" spans="1:13" x14ac:dyDescent="0.25">
      <c r="B888" s="6" t="s">
        <v>1777</v>
      </c>
      <c r="C888" s="15" t="s">
        <v>1862</v>
      </c>
      <c r="D888" s="1" t="s">
        <v>869</v>
      </c>
      <c r="E888" s="2" t="s">
        <v>1725</v>
      </c>
      <c r="F888" s="7" t="s">
        <v>701</v>
      </c>
      <c r="G888" s="11">
        <f>46+9972</f>
        <v>10018</v>
      </c>
      <c r="H888" s="17">
        <f t="shared" si="58"/>
        <v>10518.9</v>
      </c>
      <c r="I888" s="17">
        <f t="shared" si="59"/>
        <v>11044.844999999999</v>
      </c>
      <c r="J888" s="112">
        <f t="shared" si="60"/>
        <v>11928.4326</v>
      </c>
      <c r="K888" s="112">
        <v>11928.4326</v>
      </c>
      <c r="L888" s="17">
        <f t="shared" si="57"/>
        <v>7109.3458295999999</v>
      </c>
      <c r="M888" t="s">
        <v>3246</v>
      </c>
    </row>
    <row r="889" spans="1:13" x14ac:dyDescent="0.25">
      <c r="B889" s="6" t="s">
        <v>1778</v>
      </c>
      <c r="C889" s="15" t="s">
        <v>1862</v>
      </c>
      <c r="D889" s="1" t="s">
        <v>870</v>
      </c>
      <c r="E889" s="2" t="s">
        <v>1726</v>
      </c>
      <c r="F889" s="7" t="s">
        <v>701</v>
      </c>
      <c r="G889" s="11">
        <f>46+10222</f>
        <v>10268</v>
      </c>
      <c r="H889" s="17">
        <f t="shared" si="58"/>
        <v>10781.4</v>
      </c>
      <c r="I889" s="17">
        <f t="shared" si="59"/>
        <v>11320.47</v>
      </c>
      <c r="J889" s="112">
        <f t="shared" si="60"/>
        <v>12226.107599999999</v>
      </c>
      <c r="K889" s="112">
        <v>12226.107599999999</v>
      </c>
      <c r="L889" s="17">
        <f t="shared" si="57"/>
        <v>7286.7601295999993</v>
      </c>
      <c r="M889" t="s">
        <v>3246</v>
      </c>
    </row>
    <row r="890" spans="1:13" x14ac:dyDescent="0.25">
      <c r="B890" s="6" t="s">
        <v>1779</v>
      </c>
      <c r="C890" s="15" t="s">
        <v>1862</v>
      </c>
      <c r="D890" s="1" t="s">
        <v>871</v>
      </c>
      <c r="E890" s="2" t="s">
        <v>1727</v>
      </c>
      <c r="F890" s="7" t="s">
        <v>701</v>
      </c>
      <c r="G890" s="11">
        <f>46+10471</f>
        <v>10517</v>
      </c>
      <c r="H890" s="17">
        <f t="shared" si="58"/>
        <v>11042.85</v>
      </c>
      <c r="I890" s="17">
        <f t="shared" si="59"/>
        <v>11594.9925</v>
      </c>
      <c r="J890" s="112">
        <f t="shared" si="60"/>
        <v>12522.591900000001</v>
      </c>
      <c r="K890" s="112">
        <v>12522.591900000001</v>
      </c>
      <c r="L890" s="17">
        <f t="shared" si="57"/>
        <v>7463.4647724000006</v>
      </c>
      <c r="M890" t="s">
        <v>3246</v>
      </c>
    </row>
    <row r="891" spans="1:13" x14ac:dyDescent="0.25">
      <c r="B891" s="6" t="s">
        <v>1780</v>
      </c>
      <c r="C891" s="15" t="s">
        <v>1862</v>
      </c>
      <c r="D891" s="1" t="s">
        <v>872</v>
      </c>
      <c r="E891" s="2" t="s">
        <v>1728</v>
      </c>
      <c r="F891" s="7" t="s">
        <v>701</v>
      </c>
      <c r="G891" s="11">
        <f>46+10720</f>
        <v>10766</v>
      </c>
      <c r="H891" s="17">
        <f t="shared" si="58"/>
        <v>11304.300000000001</v>
      </c>
      <c r="I891" s="17">
        <f t="shared" si="59"/>
        <v>11869.515000000001</v>
      </c>
      <c r="J891" s="112">
        <f t="shared" si="60"/>
        <v>12819.076200000001</v>
      </c>
      <c r="K891" s="112">
        <v>12819.076200000001</v>
      </c>
      <c r="L891" s="17">
        <f t="shared" si="57"/>
        <v>7640.1694152000009</v>
      </c>
      <c r="M891" t="s">
        <v>3246</v>
      </c>
    </row>
    <row r="892" spans="1:13" x14ac:dyDescent="0.25">
      <c r="B892" s="6" t="s">
        <v>1781</v>
      </c>
      <c r="C892" s="15" t="s">
        <v>1862</v>
      </c>
      <c r="D892" s="1" t="s">
        <v>873</v>
      </c>
      <c r="E892" s="2" t="s">
        <v>1729</v>
      </c>
      <c r="F892" s="7" t="s">
        <v>701</v>
      </c>
      <c r="G892" s="11">
        <f>46+10970</f>
        <v>11016</v>
      </c>
      <c r="H892" s="17">
        <f t="shared" si="58"/>
        <v>11566.800000000001</v>
      </c>
      <c r="I892" s="17">
        <f t="shared" si="59"/>
        <v>12145.140000000001</v>
      </c>
      <c r="J892" s="112">
        <f t="shared" si="60"/>
        <v>13116.751200000002</v>
      </c>
      <c r="K892" s="112">
        <v>13116.751200000002</v>
      </c>
      <c r="L892" s="17">
        <f t="shared" si="57"/>
        <v>7817.5837152000013</v>
      </c>
      <c r="M892" t="s">
        <v>3246</v>
      </c>
    </row>
    <row r="893" spans="1:13" x14ac:dyDescent="0.25">
      <c r="B893" s="6" t="s">
        <v>1782</v>
      </c>
      <c r="C893" s="15" t="s">
        <v>1862</v>
      </c>
      <c r="D893" s="1" t="s">
        <v>874</v>
      </c>
      <c r="E893" s="2" t="s">
        <v>1730</v>
      </c>
      <c r="F893" s="7" t="s">
        <v>701</v>
      </c>
      <c r="G893" s="11">
        <f>46+11219</f>
        <v>11265</v>
      </c>
      <c r="H893" s="17">
        <f t="shared" si="58"/>
        <v>11828.25</v>
      </c>
      <c r="I893" s="17">
        <f t="shared" si="59"/>
        <v>12419.6625</v>
      </c>
      <c r="J893" s="112">
        <f t="shared" si="60"/>
        <v>13413.235500000001</v>
      </c>
      <c r="K893" s="112">
        <v>13413.235500000001</v>
      </c>
      <c r="L893" s="17">
        <f t="shared" si="57"/>
        <v>7994.2883579999998</v>
      </c>
      <c r="M893" t="s">
        <v>3246</v>
      </c>
    </row>
    <row r="894" spans="1:13" x14ac:dyDescent="0.25">
      <c r="B894" s="6" t="s">
        <v>1783</v>
      </c>
      <c r="C894" s="15" t="s">
        <v>1862</v>
      </c>
      <c r="D894" s="1" t="s">
        <v>875</v>
      </c>
      <c r="E894" s="2" t="s">
        <v>1731</v>
      </c>
      <c r="F894" s="7" t="s">
        <v>701</v>
      </c>
      <c r="G894" s="11">
        <f>46+11468</f>
        <v>11514</v>
      </c>
      <c r="H894" s="17">
        <f t="shared" si="58"/>
        <v>12089.7</v>
      </c>
      <c r="I894" s="17">
        <f t="shared" si="59"/>
        <v>12694.185000000001</v>
      </c>
      <c r="J894" s="112">
        <f t="shared" si="60"/>
        <v>13709.719800000003</v>
      </c>
      <c r="K894" s="112">
        <v>13709.719800000003</v>
      </c>
      <c r="L894" s="17">
        <f t="shared" si="57"/>
        <v>8170.993000800001</v>
      </c>
      <c r="M894" t="s">
        <v>3246</v>
      </c>
    </row>
    <row r="895" spans="1:13" x14ac:dyDescent="0.25">
      <c r="A895" s="2" t="s">
        <v>3197</v>
      </c>
      <c r="B895" s="6" t="s">
        <v>1784</v>
      </c>
      <c r="C895" s="15" t="s">
        <v>1862</v>
      </c>
      <c r="D895" s="1" t="s">
        <v>1823</v>
      </c>
      <c r="E895" s="2" t="s">
        <v>1732</v>
      </c>
      <c r="F895" s="7" t="s">
        <v>702</v>
      </c>
      <c r="G895" s="11">
        <f>46+7818</f>
        <v>7864</v>
      </c>
      <c r="H895" s="17">
        <f t="shared" si="58"/>
        <v>8257.2000000000007</v>
      </c>
      <c r="I895" s="17">
        <f t="shared" si="59"/>
        <v>8670.0600000000013</v>
      </c>
      <c r="J895" s="112">
        <f t="shared" si="60"/>
        <v>9363.6648000000023</v>
      </c>
      <c r="K895" s="112">
        <v>9363.6648000000023</v>
      </c>
      <c r="L895" s="17">
        <f t="shared" si="57"/>
        <v>5580.7442208000011</v>
      </c>
      <c r="M895" t="s">
        <v>3246</v>
      </c>
    </row>
    <row r="896" spans="1:13" x14ac:dyDescent="0.25">
      <c r="B896" s="6" t="s">
        <v>1785</v>
      </c>
      <c r="C896" s="15" t="s">
        <v>1862</v>
      </c>
      <c r="D896" s="1" t="s">
        <v>1824</v>
      </c>
      <c r="E896" s="2" t="s">
        <v>1733</v>
      </c>
      <c r="F896" s="7" t="s">
        <v>702</v>
      </c>
      <c r="G896" s="11">
        <f>46+8067</f>
        <v>8113</v>
      </c>
      <c r="H896" s="17">
        <f t="shared" si="58"/>
        <v>8518.65</v>
      </c>
      <c r="I896" s="17">
        <f t="shared" si="59"/>
        <v>8944.5825000000004</v>
      </c>
      <c r="J896" s="112">
        <f t="shared" si="60"/>
        <v>9660.1491000000005</v>
      </c>
      <c r="K896" s="112">
        <v>9660.1491000000005</v>
      </c>
      <c r="L896" s="17">
        <f t="shared" si="57"/>
        <v>5757.4488635999996</v>
      </c>
      <c r="M896" t="s">
        <v>3246</v>
      </c>
    </row>
    <row r="897" spans="2:13" x14ac:dyDescent="0.25">
      <c r="B897" s="6" t="s">
        <v>1786</v>
      </c>
      <c r="C897" s="15" t="s">
        <v>1862</v>
      </c>
      <c r="D897" s="1" t="s">
        <v>1825</v>
      </c>
      <c r="E897" s="2" t="s">
        <v>1734</v>
      </c>
      <c r="F897" s="7" t="s">
        <v>701</v>
      </c>
      <c r="G897" s="11">
        <f>8988+46</f>
        <v>9034</v>
      </c>
      <c r="H897" s="17">
        <f t="shared" si="58"/>
        <v>9485.7000000000007</v>
      </c>
      <c r="I897" s="17">
        <f t="shared" si="59"/>
        <v>9959.9850000000006</v>
      </c>
      <c r="J897" s="112">
        <f t="shared" si="60"/>
        <v>10756.783800000001</v>
      </c>
      <c r="K897" s="112">
        <v>10756.783800000001</v>
      </c>
      <c r="L897" s="17">
        <f t="shared" ref="L897:L960" si="61">K897*0.596</f>
        <v>6411.0431447999999</v>
      </c>
      <c r="M897" t="s">
        <v>3246</v>
      </c>
    </row>
    <row r="898" spans="2:13" x14ac:dyDescent="0.25">
      <c r="B898" s="6" t="s">
        <v>1787</v>
      </c>
      <c r="C898" s="15" t="s">
        <v>1862</v>
      </c>
      <c r="D898" s="1" t="s">
        <v>1826</v>
      </c>
      <c r="E898" s="2" t="s">
        <v>1735</v>
      </c>
      <c r="F898" s="7" t="s">
        <v>701</v>
      </c>
      <c r="G898" s="11">
        <f>46+9238</f>
        <v>9284</v>
      </c>
      <c r="H898" s="17">
        <f t="shared" ref="H898:H961" si="62">G898*1.05</f>
        <v>9748.2000000000007</v>
      </c>
      <c r="I898" s="17">
        <f t="shared" ref="I898:I961" si="63">H898*1.05</f>
        <v>10235.61</v>
      </c>
      <c r="J898" s="112">
        <f t="shared" ref="J898:J961" si="64">I898*1.08</f>
        <v>11054.458800000002</v>
      </c>
      <c r="K898" s="112">
        <v>11054.458800000002</v>
      </c>
      <c r="L898" s="17">
        <f t="shared" si="61"/>
        <v>6588.4574448000012</v>
      </c>
      <c r="M898" t="s">
        <v>3246</v>
      </c>
    </row>
    <row r="899" spans="2:13" x14ac:dyDescent="0.25">
      <c r="B899" s="6" t="s">
        <v>1788</v>
      </c>
      <c r="C899" s="15" t="s">
        <v>1862</v>
      </c>
      <c r="D899" s="1" t="s">
        <v>1827</v>
      </c>
      <c r="E899" s="2" t="s">
        <v>1736</v>
      </c>
      <c r="F899" s="7" t="s">
        <v>701</v>
      </c>
      <c r="G899" s="11">
        <f>46+10328</f>
        <v>10374</v>
      </c>
      <c r="H899" s="17">
        <f t="shared" si="62"/>
        <v>10892.7</v>
      </c>
      <c r="I899" s="17">
        <f t="shared" si="63"/>
        <v>11437.335000000001</v>
      </c>
      <c r="J899" s="112">
        <f t="shared" si="64"/>
        <v>12352.321800000002</v>
      </c>
      <c r="K899" s="112">
        <v>12352.321800000002</v>
      </c>
      <c r="L899" s="17">
        <f t="shared" si="61"/>
        <v>7361.9837928000006</v>
      </c>
      <c r="M899" t="s">
        <v>3246</v>
      </c>
    </row>
    <row r="900" spans="2:13" x14ac:dyDescent="0.25">
      <c r="B900" s="6" t="s">
        <v>1789</v>
      </c>
      <c r="C900" s="15" t="s">
        <v>1862</v>
      </c>
      <c r="D900" s="1" t="s">
        <v>1828</v>
      </c>
      <c r="E900" s="2" t="s">
        <v>1737</v>
      </c>
      <c r="F900" s="7" t="s">
        <v>701</v>
      </c>
      <c r="G900" s="11">
        <f>46+10614</f>
        <v>10660</v>
      </c>
      <c r="H900" s="17">
        <f t="shared" si="62"/>
        <v>11193</v>
      </c>
      <c r="I900" s="17">
        <f t="shared" si="63"/>
        <v>11752.65</v>
      </c>
      <c r="J900" s="112">
        <f t="shared" si="64"/>
        <v>12692.862000000001</v>
      </c>
      <c r="K900" s="112">
        <v>12692.862000000001</v>
      </c>
      <c r="L900" s="17">
        <f t="shared" si="61"/>
        <v>7564.9457520000005</v>
      </c>
      <c r="M900" t="s">
        <v>3246</v>
      </c>
    </row>
    <row r="901" spans="2:13" x14ac:dyDescent="0.25">
      <c r="B901" s="6" t="s">
        <v>1790</v>
      </c>
      <c r="C901" s="15" t="s">
        <v>1862</v>
      </c>
      <c r="D901" s="1" t="s">
        <v>1829</v>
      </c>
      <c r="E901" s="2" t="s">
        <v>1738</v>
      </c>
      <c r="F901" s="7" t="s">
        <v>701</v>
      </c>
      <c r="G901" s="11">
        <f>46+10898</f>
        <v>10944</v>
      </c>
      <c r="H901" s="17">
        <f t="shared" si="62"/>
        <v>11491.2</v>
      </c>
      <c r="I901" s="17">
        <f t="shared" si="63"/>
        <v>12065.760000000002</v>
      </c>
      <c r="J901" s="112">
        <f t="shared" si="64"/>
        <v>13031.020800000004</v>
      </c>
      <c r="K901" s="112">
        <v>13031.020800000004</v>
      </c>
      <c r="L901" s="17">
        <f t="shared" si="61"/>
        <v>7766.4883968000022</v>
      </c>
      <c r="M901" t="s">
        <v>3246</v>
      </c>
    </row>
    <row r="902" spans="2:13" x14ac:dyDescent="0.25">
      <c r="B902" s="6" t="s">
        <v>1791</v>
      </c>
      <c r="C902" s="15" t="s">
        <v>1862</v>
      </c>
      <c r="D902" s="1" t="s">
        <v>1830</v>
      </c>
      <c r="E902" s="2" t="s">
        <v>1739</v>
      </c>
      <c r="F902" s="7" t="s">
        <v>701</v>
      </c>
      <c r="G902" s="11">
        <f>46+11183</f>
        <v>11229</v>
      </c>
      <c r="H902" s="17">
        <f t="shared" si="62"/>
        <v>11790.45</v>
      </c>
      <c r="I902" s="17">
        <f t="shared" si="63"/>
        <v>12379.972500000002</v>
      </c>
      <c r="J902" s="112">
        <f t="shared" si="64"/>
        <v>13370.370300000002</v>
      </c>
      <c r="K902" s="112">
        <v>13370.370300000002</v>
      </c>
      <c r="L902" s="17">
        <f t="shared" si="61"/>
        <v>7968.7406988000012</v>
      </c>
      <c r="M902" t="s">
        <v>3246</v>
      </c>
    </row>
    <row r="903" spans="2:13" x14ac:dyDescent="0.25">
      <c r="B903" s="6" t="s">
        <v>1792</v>
      </c>
      <c r="C903" s="15" t="s">
        <v>1862</v>
      </c>
      <c r="D903" s="1" t="s">
        <v>1831</v>
      </c>
      <c r="E903" s="2" t="s">
        <v>1740</v>
      </c>
      <c r="F903" s="7" t="s">
        <v>701</v>
      </c>
      <c r="G903" s="11">
        <f>46+11468</f>
        <v>11514</v>
      </c>
      <c r="H903" s="17">
        <f t="shared" si="62"/>
        <v>12089.7</v>
      </c>
      <c r="I903" s="17">
        <f t="shared" si="63"/>
        <v>12694.185000000001</v>
      </c>
      <c r="J903" s="112">
        <f t="shared" si="64"/>
        <v>13709.719800000003</v>
      </c>
      <c r="K903" s="112">
        <v>13709.719800000003</v>
      </c>
      <c r="L903" s="17">
        <f t="shared" si="61"/>
        <v>8170.993000800001</v>
      </c>
      <c r="M903" t="s">
        <v>3246</v>
      </c>
    </row>
    <row r="904" spans="2:13" x14ac:dyDescent="0.25">
      <c r="B904" s="6" t="s">
        <v>1793</v>
      </c>
      <c r="C904" s="15" t="s">
        <v>1862</v>
      </c>
      <c r="D904" s="1" t="s">
        <v>1832</v>
      </c>
      <c r="E904" s="2" t="s">
        <v>1741</v>
      </c>
      <c r="F904" s="7" t="s">
        <v>701</v>
      </c>
      <c r="G904" s="11">
        <f>46+11724</f>
        <v>11770</v>
      </c>
      <c r="H904" s="17">
        <f t="shared" si="62"/>
        <v>12358.5</v>
      </c>
      <c r="I904" s="17">
        <f t="shared" si="63"/>
        <v>12976.425000000001</v>
      </c>
      <c r="J904" s="112">
        <f t="shared" si="64"/>
        <v>14014.539000000002</v>
      </c>
      <c r="K904" s="112">
        <v>14014.539000000002</v>
      </c>
      <c r="L904" s="17">
        <f t="shared" si="61"/>
        <v>8352.6652440000016</v>
      </c>
      <c r="M904" t="s">
        <v>3246</v>
      </c>
    </row>
    <row r="905" spans="2:13" x14ac:dyDescent="0.25">
      <c r="B905" s="6" t="s">
        <v>1794</v>
      </c>
      <c r="C905" s="15" t="s">
        <v>1862</v>
      </c>
      <c r="D905" s="1" t="s">
        <v>1833</v>
      </c>
      <c r="E905" s="2" t="s">
        <v>1742</v>
      </c>
      <c r="F905" s="7" t="s">
        <v>701</v>
      </c>
      <c r="G905" s="11">
        <f>46+12037</f>
        <v>12083</v>
      </c>
      <c r="H905" s="17">
        <f t="shared" si="62"/>
        <v>12687.15</v>
      </c>
      <c r="I905" s="17">
        <f t="shared" si="63"/>
        <v>13321.5075</v>
      </c>
      <c r="J905" s="112">
        <f t="shared" si="64"/>
        <v>14387.2281</v>
      </c>
      <c r="K905" s="112">
        <v>14387.2281</v>
      </c>
      <c r="L905" s="17">
        <f t="shared" si="61"/>
        <v>8574.7879475999998</v>
      </c>
      <c r="M905" t="s">
        <v>3246</v>
      </c>
    </row>
    <row r="906" spans="2:13" x14ac:dyDescent="0.25">
      <c r="B906" s="6" t="s">
        <v>1795</v>
      </c>
      <c r="C906" s="15" t="s">
        <v>1862</v>
      </c>
      <c r="D906" s="1" t="s">
        <v>1834</v>
      </c>
      <c r="E906" s="2" t="s">
        <v>1743</v>
      </c>
      <c r="F906" s="7" t="s">
        <v>701</v>
      </c>
      <c r="G906" s="11">
        <f>46+12321</f>
        <v>12367</v>
      </c>
      <c r="H906" s="17">
        <f t="shared" si="62"/>
        <v>12985.35</v>
      </c>
      <c r="I906" s="17">
        <f t="shared" si="63"/>
        <v>13634.6175</v>
      </c>
      <c r="J906" s="112">
        <f t="shared" si="64"/>
        <v>14725.386900000001</v>
      </c>
      <c r="K906" s="112">
        <v>14725.386900000001</v>
      </c>
      <c r="L906" s="17">
        <f t="shared" si="61"/>
        <v>8776.3305923999997</v>
      </c>
      <c r="M906" t="s">
        <v>3246</v>
      </c>
    </row>
    <row r="907" spans="2:13" x14ac:dyDescent="0.25">
      <c r="B907" s="6" t="s">
        <v>1796</v>
      </c>
      <c r="C907" s="15" t="s">
        <v>1862</v>
      </c>
      <c r="D907" s="1" t="s">
        <v>1835</v>
      </c>
      <c r="E907" s="2" t="s">
        <v>1744</v>
      </c>
      <c r="F907" s="7" t="s">
        <v>701</v>
      </c>
      <c r="G907" s="11">
        <f>46+12607</f>
        <v>12653</v>
      </c>
      <c r="H907" s="17">
        <f t="shared" si="62"/>
        <v>13285.650000000001</v>
      </c>
      <c r="I907" s="17">
        <f t="shared" si="63"/>
        <v>13949.932500000003</v>
      </c>
      <c r="J907" s="112">
        <f t="shared" si="64"/>
        <v>15065.927100000004</v>
      </c>
      <c r="K907" s="112">
        <v>15065.927100000004</v>
      </c>
      <c r="L907" s="17">
        <f t="shared" si="61"/>
        <v>8979.2925516000014</v>
      </c>
      <c r="M907" t="s">
        <v>3246</v>
      </c>
    </row>
    <row r="908" spans="2:13" x14ac:dyDescent="0.25">
      <c r="B908" s="6" t="s">
        <v>1797</v>
      </c>
      <c r="C908" s="15" t="s">
        <v>1862</v>
      </c>
      <c r="D908" s="1" t="s">
        <v>1836</v>
      </c>
      <c r="E908" s="2" t="s">
        <v>1745</v>
      </c>
      <c r="F908" s="7" t="s">
        <v>1863</v>
      </c>
      <c r="G908" s="11">
        <f>46+8442</f>
        <v>8488</v>
      </c>
      <c r="H908" s="17">
        <f t="shared" si="62"/>
        <v>8912.4</v>
      </c>
      <c r="I908" s="17">
        <f t="shared" si="63"/>
        <v>9358.02</v>
      </c>
      <c r="J908" s="112">
        <f t="shared" si="64"/>
        <v>10106.661600000001</v>
      </c>
      <c r="K908" s="112">
        <v>10106.661600000001</v>
      </c>
      <c r="L908" s="17">
        <f t="shared" si="61"/>
        <v>6023.5703136000002</v>
      </c>
      <c r="M908" t="s">
        <v>3246</v>
      </c>
    </row>
    <row r="909" spans="2:13" x14ac:dyDescent="0.25">
      <c r="B909" s="6" t="s">
        <v>1798</v>
      </c>
      <c r="C909" s="15" t="s">
        <v>1862</v>
      </c>
      <c r="D909" s="1" t="s">
        <v>1837</v>
      </c>
      <c r="E909" s="2" t="s">
        <v>1746</v>
      </c>
      <c r="F909" s="7" t="s">
        <v>1863</v>
      </c>
      <c r="G909" s="11">
        <f>46+8723</f>
        <v>8769</v>
      </c>
      <c r="H909" s="17">
        <f t="shared" si="62"/>
        <v>9207.4500000000007</v>
      </c>
      <c r="I909" s="17">
        <f t="shared" si="63"/>
        <v>9667.822500000002</v>
      </c>
      <c r="J909" s="112">
        <f t="shared" si="64"/>
        <v>10441.248300000003</v>
      </c>
      <c r="K909" s="112">
        <v>10441.248300000003</v>
      </c>
      <c r="L909" s="17">
        <f t="shared" si="61"/>
        <v>6222.9839868000017</v>
      </c>
      <c r="M909" t="s">
        <v>3246</v>
      </c>
    </row>
    <row r="910" spans="2:13" x14ac:dyDescent="0.25">
      <c r="B910" s="6" t="s">
        <v>1799</v>
      </c>
      <c r="C910" s="15" t="s">
        <v>1862</v>
      </c>
      <c r="D910" s="1" t="s">
        <v>1838</v>
      </c>
      <c r="E910" s="2" t="s">
        <v>1747</v>
      </c>
      <c r="F910" s="7" t="s">
        <v>1864</v>
      </c>
      <c r="G910" s="11">
        <f>46+9675</f>
        <v>9721</v>
      </c>
      <c r="H910" s="17">
        <f t="shared" si="62"/>
        <v>10207.050000000001</v>
      </c>
      <c r="I910" s="17">
        <f t="shared" si="63"/>
        <v>10717.402500000002</v>
      </c>
      <c r="J910" s="112">
        <f t="shared" si="64"/>
        <v>11574.794700000002</v>
      </c>
      <c r="K910" s="112">
        <v>11574.794700000002</v>
      </c>
      <c r="L910" s="17">
        <f t="shared" si="61"/>
        <v>6898.5776412000014</v>
      </c>
      <c r="M910" t="s">
        <v>3246</v>
      </c>
    </row>
    <row r="911" spans="2:13" x14ac:dyDescent="0.25">
      <c r="B911" s="6" t="s">
        <v>1800</v>
      </c>
      <c r="C911" s="15" t="s">
        <v>1862</v>
      </c>
      <c r="D911" s="1" t="s">
        <v>1839</v>
      </c>
      <c r="E911" s="2" t="s">
        <v>1748</v>
      </c>
      <c r="F911" s="7" t="s">
        <v>1864</v>
      </c>
      <c r="G911" s="11">
        <f>46+9956</f>
        <v>10002</v>
      </c>
      <c r="H911" s="17">
        <f t="shared" si="62"/>
        <v>10502.1</v>
      </c>
      <c r="I911" s="17">
        <f t="shared" si="63"/>
        <v>11027.205000000002</v>
      </c>
      <c r="J911" s="112">
        <f t="shared" si="64"/>
        <v>11909.381400000002</v>
      </c>
      <c r="K911" s="112">
        <v>11909.381400000002</v>
      </c>
      <c r="L911" s="17">
        <f t="shared" si="61"/>
        <v>7097.9913144000011</v>
      </c>
      <c r="M911" t="s">
        <v>3246</v>
      </c>
    </row>
    <row r="912" spans="2:13" x14ac:dyDescent="0.25">
      <c r="B912" s="6" t="s">
        <v>1801</v>
      </c>
      <c r="C912" s="15" t="s">
        <v>1862</v>
      </c>
      <c r="D912" s="1" t="s">
        <v>1840</v>
      </c>
      <c r="E912" s="2" t="s">
        <v>1749</v>
      </c>
      <c r="F912" s="7" t="s">
        <v>1864</v>
      </c>
      <c r="G912" s="11">
        <f>46+11183</f>
        <v>11229</v>
      </c>
      <c r="H912" s="17">
        <f t="shared" si="62"/>
        <v>11790.45</v>
      </c>
      <c r="I912" s="17">
        <f t="shared" si="63"/>
        <v>12379.972500000002</v>
      </c>
      <c r="J912" s="112">
        <f t="shared" si="64"/>
        <v>13370.370300000002</v>
      </c>
      <c r="K912" s="112">
        <v>13370.370300000002</v>
      </c>
      <c r="L912" s="17">
        <f t="shared" si="61"/>
        <v>7968.7406988000012</v>
      </c>
      <c r="M912" t="s">
        <v>3246</v>
      </c>
    </row>
    <row r="913" spans="2:13" x14ac:dyDescent="0.25">
      <c r="B913" s="6" t="s">
        <v>1802</v>
      </c>
      <c r="C913" s="15" t="s">
        <v>1862</v>
      </c>
      <c r="D913" s="1" t="s">
        <v>1841</v>
      </c>
      <c r="E913" s="2" t="s">
        <v>1750</v>
      </c>
      <c r="F913" s="7" t="s">
        <v>1864</v>
      </c>
      <c r="G913" s="11">
        <f>46+11183</f>
        <v>11229</v>
      </c>
      <c r="H913" s="17">
        <f t="shared" si="62"/>
        <v>11790.45</v>
      </c>
      <c r="I913" s="17">
        <f t="shared" si="63"/>
        <v>12379.972500000002</v>
      </c>
      <c r="J913" s="112">
        <f t="shared" si="64"/>
        <v>13370.370300000002</v>
      </c>
      <c r="K913" s="112">
        <v>13370.370300000002</v>
      </c>
      <c r="L913" s="17">
        <f t="shared" si="61"/>
        <v>7968.7406988000012</v>
      </c>
      <c r="M913" t="s">
        <v>3246</v>
      </c>
    </row>
    <row r="914" spans="2:13" x14ac:dyDescent="0.25">
      <c r="B914" s="6" t="s">
        <v>1803</v>
      </c>
      <c r="C914" s="15" t="s">
        <v>1862</v>
      </c>
      <c r="D914" s="1" t="s">
        <v>1842</v>
      </c>
      <c r="E914" s="2" t="s">
        <v>1751</v>
      </c>
      <c r="F914" s="7" t="s">
        <v>1864</v>
      </c>
      <c r="G914" s="11">
        <f>46+11823</f>
        <v>11869</v>
      </c>
      <c r="H914" s="17">
        <f t="shared" si="62"/>
        <v>12462.45</v>
      </c>
      <c r="I914" s="17">
        <f t="shared" si="63"/>
        <v>13085.572500000002</v>
      </c>
      <c r="J914" s="112">
        <f t="shared" si="64"/>
        <v>14132.418300000003</v>
      </c>
      <c r="K914" s="112">
        <v>14132.418300000003</v>
      </c>
      <c r="L914" s="17">
        <f t="shared" si="61"/>
        <v>8422.9213068000008</v>
      </c>
      <c r="M914" t="s">
        <v>3246</v>
      </c>
    </row>
    <row r="915" spans="2:13" x14ac:dyDescent="0.25">
      <c r="B915" s="6" t="s">
        <v>1804</v>
      </c>
      <c r="C915" s="15" t="s">
        <v>1862</v>
      </c>
      <c r="D915" s="1" t="s">
        <v>1843</v>
      </c>
      <c r="E915" s="2" t="s">
        <v>1752</v>
      </c>
      <c r="F915" s="7" t="s">
        <v>1864</v>
      </c>
      <c r="G915" s="11">
        <f>46+12144</f>
        <v>12190</v>
      </c>
      <c r="H915" s="17">
        <f t="shared" si="62"/>
        <v>12799.5</v>
      </c>
      <c r="I915" s="17">
        <f t="shared" si="63"/>
        <v>13439.475</v>
      </c>
      <c r="J915" s="112">
        <f t="shared" si="64"/>
        <v>14514.633000000002</v>
      </c>
      <c r="K915" s="112">
        <v>14514.633000000002</v>
      </c>
      <c r="L915" s="17">
        <f t="shared" si="61"/>
        <v>8650.7212680000011</v>
      </c>
      <c r="M915" t="s">
        <v>3246</v>
      </c>
    </row>
    <row r="916" spans="2:13" x14ac:dyDescent="0.25">
      <c r="B916" s="6" t="s">
        <v>1805</v>
      </c>
      <c r="C916" s="15" t="s">
        <v>1862</v>
      </c>
      <c r="D916" s="1" t="s">
        <v>1844</v>
      </c>
      <c r="E916" s="2" t="s">
        <v>1753</v>
      </c>
      <c r="F916" s="7" t="s">
        <v>1864</v>
      </c>
      <c r="G916" s="11">
        <f>46+12464</f>
        <v>12510</v>
      </c>
      <c r="H916" s="17">
        <f t="shared" si="62"/>
        <v>13135.5</v>
      </c>
      <c r="I916" s="17">
        <f t="shared" si="63"/>
        <v>13792.275000000001</v>
      </c>
      <c r="J916" s="112">
        <f t="shared" si="64"/>
        <v>14895.657000000003</v>
      </c>
      <c r="K916" s="112">
        <v>14895.657000000003</v>
      </c>
      <c r="L916" s="17">
        <f t="shared" si="61"/>
        <v>8877.8115720000005</v>
      </c>
      <c r="M916" t="s">
        <v>3246</v>
      </c>
    </row>
    <row r="917" spans="2:13" x14ac:dyDescent="0.25">
      <c r="B917" s="6" t="s">
        <v>1806</v>
      </c>
      <c r="C917" s="15" t="s">
        <v>1862</v>
      </c>
      <c r="D917" s="1" t="s">
        <v>1845</v>
      </c>
      <c r="E917" s="2" t="s">
        <v>1754</v>
      </c>
      <c r="F917" s="7" t="s">
        <v>1864</v>
      </c>
      <c r="G917" s="11">
        <f>46+12784</f>
        <v>12830</v>
      </c>
      <c r="H917" s="17">
        <f t="shared" si="62"/>
        <v>13471.5</v>
      </c>
      <c r="I917" s="17">
        <f t="shared" si="63"/>
        <v>14145.075000000001</v>
      </c>
      <c r="J917" s="112">
        <f t="shared" si="64"/>
        <v>15276.681000000002</v>
      </c>
      <c r="K917" s="112">
        <v>15276.681000000002</v>
      </c>
      <c r="L917" s="17">
        <f t="shared" si="61"/>
        <v>9104.9018760000017</v>
      </c>
      <c r="M917" t="s">
        <v>3246</v>
      </c>
    </row>
    <row r="918" spans="2:13" x14ac:dyDescent="0.25">
      <c r="B918" s="6" t="s">
        <v>1807</v>
      </c>
      <c r="C918" s="15" t="s">
        <v>1862</v>
      </c>
      <c r="D918" s="1" t="s">
        <v>1846</v>
      </c>
      <c r="E918" s="2" t="s">
        <v>1755</v>
      </c>
      <c r="F918" s="7" t="s">
        <v>1864</v>
      </c>
      <c r="G918" s="11">
        <f>46+13104</f>
        <v>13150</v>
      </c>
      <c r="H918" s="17">
        <f t="shared" si="62"/>
        <v>13807.5</v>
      </c>
      <c r="I918" s="17">
        <f t="shared" si="63"/>
        <v>14497.875</v>
      </c>
      <c r="J918" s="112">
        <f t="shared" si="64"/>
        <v>15657.705000000002</v>
      </c>
      <c r="K918" s="112">
        <v>15657.705000000002</v>
      </c>
      <c r="L918" s="17">
        <f t="shared" si="61"/>
        <v>9331.9921800000011</v>
      </c>
      <c r="M918" t="s">
        <v>3246</v>
      </c>
    </row>
    <row r="919" spans="2:13" x14ac:dyDescent="0.25">
      <c r="B919" s="6" t="s">
        <v>1808</v>
      </c>
      <c r="C919" s="15" t="s">
        <v>1862</v>
      </c>
      <c r="D919" s="1" t="s">
        <v>1847</v>
      </c>
      <c r="E919" s="2" t="s">
        <v>1756</v>
      </c>
      <c r="F919" s="7" t="s">
        <v>1864</v>
      </c>
      <c r="G919" s="11">
        <f>46+13425</f>
        <v>13471</v>
      </c>
      <c r="H919" s="17">
        <f t="shared" si="62"/>
        <v>14144.550000000001</v>
      </c>
      <c r="I919" s="17">
        <f t="shared" si="63"/>
        <v>14851.777500000002</v>
      </c>
      <c r="J919" s="112">
        <f t="shared" si="64"/>
        <v>16039.919700000004</v>
      </c>
      <c r="K919" s="112">
        <v>16039.919700000004</v>
      </c>
      <c r="L919" s="17">
        <f t="shared" si="61"/>
        <v>9559.7921412000014</v>
      </c>
      <c r="M919" t="s">
        <v>3246</v>
      </c>
    </row>
    <row r="920" spans="2:13" x14ac:dyDescent="0.25">
      <c r="B920" s="6" t="s">
        <v>1809</v>
      </c>
      <c r="C920" s="15" t="s">
        <v>1862</v>
      </c>
      <c r="D920" s="1" t="s">
        <v>1848</v>
      </c>
      <c r="E920" s="2" t="s">
        <v>1757</v>
      </c>
      <c r="F920" s="7" t="s">
        <v>1864</v>
      </c>
      <c r="G920" s="11">
        <f>46+13745</f>
        <v>13791</v>
      </c>
      <c r="H920" s="17">
        <f t="shared" si="62"/>
        <v>14480.550000000001</v>
      </c>
      <c r="I920" s="17">
        <f t="shared" si="63"/>
        <v>15204.577500000001</v>
      </c>
      <c r="J920" s="112">
        <f t="shared" si="64"/>
        <v>16420.943700000003</v>
      </c>
      <c r="K920" s="112">
        <v>16420.943700000003</v>
      </c>
      <c r="L920" s="17">
        <f t="shared" si="61"/>
        <v>9786.8824452000008</v>
      </c>
      <c r="M920" t="s">
        <v>3246</v>
      </c>
    </row>
    <row r="921" spans="2:13" x14ac:dyDescent="0.25">
      <c r="B921" s="6" t="s">
        <v>1810</v>
      </c>
      <c r="C921" s="15" t="s">
        <v>1862</v>
      </c>
      <c r="D921" s="1" t="s">
        <v>1849</v>
      </c>
      <c r="E921" s="2" t="s">
        <v>1758</v>
      </c>
      <c r="F921" s="7" t="s">
        <v>1863</v>
      </c>
      <c r="G921" s="11">
        <f>46+10107</f>
        <v>10153</v>
      </c>
      <c r="H921" s="17">
        <f t="shared" si="62"/>
        <v>10660.65</v>
      </c>
      <c r="I921" s="17">
        <f t="shared" si="63"/>
        <v>11193.682500000001</v>
      </c>
      <c r="J921" s="112">
        <f t="shared" si="64"/>
        <v>12089.177100000001</v>
      </c>
      <c r="K921" s="112">
        <v>12089.177100000001</v>
      </c>
      <c r="L921" s="17">
        <f t="shared" si="61"/>
        <v>7205.1495516000004</v>
      </c>
      <c r="M921" t="s">
        <v>3246</v>
      </c>
    </row>
    <row r="922" spans="2:13" x14ac:dyDescent="0.25">
      <c r="B922" s="6" t="s">
        <v>1811</v>
      </c>
      <c r="C922" s="15" t="s">
        <v>1862</v>
      </c>
      <c r="D922" s="1" t="s">
        <v>1850</v>
      </c>
      <c r="E922" s="2" t="s">
        <v>1759</v>
      </c>
      <c r="F922" s="7" t="s">
        <v>1863</v>
      </c>
      <c r="G922" s="11">
        <f>46+10471</f>
        <v>10517</v>
      </c>
      <c r="H922" s="17">
        <f t="shared" si="62"/>
        <v>11042.85</v>
      </c>
      <c r="I922" s="17">
        <f t="shared" si="63"/>
        <v>11594.9925</v>
      </c>
      <c r="J922" s="112">
        <f t="shared" si="64"/>
        <v>12522.591900000001</v>
      </c>
      <c r="K922" s="112">
        <v>12522.591900000001</v>
      </c>
      <c r="L922" s="17">
        <f t="shared" si="61"/>
        <v>7463.4647724000006</v>
      </c>
      <c r="M922" t="s">
        <v>3246</v>
      </c>
    </row>
    <row r="923" spans="2:13" x14ac:dyDescent="0.25">
      <c r="B923" s="6" t="s">
        <v>1812</v>
      </c>
      <c r="C923" s="15" t="s">
        <v>1862</v>
      </c>
      <c r="D923" s="1" t="s">
        <v>1851</v>
      </c>
      <c r="E923" s="2" t="s">
        <v>1760</v>
      </c>
      <c r="F923" s="7" t="s">
        <v>1864</v>
      </c>
      <c r="G923" s="11">
        <f>46+11506</f>
        <v>11552</v>
      </c>
      <c r="H923" s="17">
        <f t="shared" si="62"/>
        <v>12129.6</v>
      </c>
      <c r="I923" s="17">
        <f t="shared" si="63"/>
        <v>12736.080000000002</v>
      </c>
      <c r="J923" s="112">
        <f t="shared" si="64"/>
        <v>13754.966400000003</v>
      </c>
      <c r="K923" s="112">
        <v>13754.966400000003</v>
      </c>
      <c r="L923" s="17">
        <f t="shared" si="61"/>
        <v>8197.9599744000006</v>
      </c>
      <c r="M923" t="s">
        <v>3246</v>
      </c>
    </row>
    <row r="924" spans="2:13" x14ac:dyDescent="0.25">
      <c r="B924" s="6" t="s">
        <v>1813</v>
      </c>
      <c r="C924" s="15" t="s">
        <v>1862</v>
      </c>
      <c r="D924" s="1" t="s">
        <v>1852</v>
      </c>
      <c r="E924" s="2" t="s">
        <v>1761</v>
      </c>
      <c r="F924" s="7" t="s">
        <v>1864</v>
      </c>
      <c r="G924" s="11">
        <f>46+11871</f>
        <v>11917</v>
      </c>
      <c r="H924" s="17">
        <f t="shared" si="62"/>
        <v>12512.85</v>
      </c>
      <c r="I924" s="17">
        <f t="shared" si="63"/>
        <v>13138.4925</v>
      </c>
      <c r="J924" s="112">
        <f t="shared" si="64"/>
        <v>14189.571900000001</v>
      </c>
      <c r="K924" s="112">
        <v>14189.571900000001</v>
      </c>
      <c r="L924" s="17">
        <f t="shared" si="61"/>
        <v>8456.9848524000008</v>
      </c>
      <c r="M924" t="s">
        <v>3246</v>
      </c>
    </row>
    <row r="925" spans="2:13" x14ac:dyDescent="0.25">
      <c r="B925" s="6" t="s">
        <v>1814</v>
      </c>
      <c r="C925" s="15" t="s">
        <v>1862</v>
      </c>
      <c r="D925" s="1" t="s">
        <v>1853</v>
      </c>
      <c r="E925" s="2" t="s">
        <v>1762</v>
      </c>
      <c r="F925" s="7" t="s">
        <v>1864</v>
      </c>
      <c r="G925" s="11">
        <f>46+13460</f>
        <v>13506</v>
      </c>
      <c r="H925" s="17">
        <f t="shared" si="62"/>
        <v>14181.300000000001</v>
      </c>
      <c r="I925" s="17">
        <f t="shared" si="63"/>
        <v>14890.365000000002</v>
      </c>
      <c r="J925" s="112">
        <f t="shared" si="64"/>
        <v>16081.594200000003</v>
      </c>
      <c r="K925" s="112">
        <v>16081.594200000003</v>
      </c>
      <c r="L925" s="17">
        <f t="shared" si="61"/>
        <v>9584.6301432000018</v>
      </c>
      <c r="M925" t="s">
        <v>3246</v>
      </c>
    </row>
    <row r="926" spans="2:13" x14ac:dyDescent="0.25">
      <c r="B926" s="6" t="s">
        <v>1815</v>
      </c>
      <c r="C926" s="15" t="s">
        <v>1862</v>
      </c>
      <c r="D926" s="1" t="s">
        <v>1854</v>
      </c>
      <c r="E926" s="2" t="s">
        <v>1763</v>
      </c>
      <c r="F926" s="7" t="s">
        <v>1864</v>
      </c>
      <c r="G926" s="11">
        <f>46+13876</f>
        <v>13922</v>
      </c>
      <c r="H926" s="17">
        <f t="shared" si="62"/>
        <v>14618.1</v>
      </c>
      <c r="I926" s="17">
        <f t="shared" si="63"/>
        <v>15349.005000000001</v>
      </c>
      <c r="J926" s="112">
        <f t="shared" si="64"/>
        <v>16576.925400000004</v>
      </c>
      <c r="K926" s="112">
        <v>16576.925400000004</v>
      </c>
      <c r="L926" s="17">
        <f t="shared" si="61"/>
        <v>9879.8475384000012</v>
      </c>
      <c r="M926" t="s">
        <v>3246</v>
      </c>
    </row>
    <row r="927" spans="2:13" x14ac:dyDescent="0.25">
      <c r="B927" s="6" t="s">
        <v>1816</v>
      </c>
      <c r="C927" s="15" t="s">
        <v>1862</v>
      </c>
      <c r="D927" s="1" t="s">
        <v>1855</v>
      </c>
      <c r="E927" s="2" t="s">
        <v>1764</v>
      </c>
      <c r="F927" s="7" t="s">
        <v>1864</v>
      </c>
      <c r="G927" s="11">
        <f>46+14291</f>
        <v>14337</v>
      </c>
      <c r="H927" s="17">
        <f t="shared" si="62"/>
        <v>15053.85</v>
      </c>
      <c r="I927" s="17">
        <f t="shared" si="63"/>
        <v>15806.542500000001</v>
      </c>
      <c r="J927" s="112">
        <f t="shared" si="64"/>
        <v>17071.065900000001</v>
      </c>
      <c r="K927" s="112">
        <v>17071.065900000001</v>
      </c>
      <c r="L927" s="17">
        <f t="shared" si="61"/>
        <v>10174.3552764</v>
      </c>
      <c r="M927" t="s">
        <v>3246</v>
      </c>
    </row>
    <row r="928" spans="2:13" x14ac:dyDescent="0.25">
      <c r="B928" s="6" t="s">
        <v>1817</v>
      </c>
      <c r="C928" s="15" t="s">
        <v>1862</v>
      </c>
      <c r="D928" s="1" t="s">
        <v>1856</v>
      </c>
      <c r="E928" s="2" t="s">
        <v>1765</v>
      </c>
      <c r="F928" s="7" t="s">
        <v>1864</v>
      </c>
      <c r="G928" s="11">
        <f>46+14707</f>
        <v>14753</v>
      </c>
      <c r="H928" s="17">
        <f t="shared" si="62"/>
        <v>15490.650000000001</v>
      </c>
      <c r="I928" s="17">
        <f t="shared" si="63"/>
        <v>16265.182500000003</v>
      </c>
      <c r="J928" s="112">
        <f t="shared" si="64"/>
        <v>17566.397100000006</v>
      </c>
      <c r="K928" s="112">
        <v>17566.397100000006</v>
      </c>
      <c r="L928" s="17">
        <f t="shared" si="61"/>
        <v>10469.572671600003</v>
      </c>
      <c r="M928" t="s">
        <v>3246</v>
      </c>
    </row>
    <row r="929" spans="1:13" x14ac:dyDescent="0.25">
      <c r="B929" s="6" t="s">
        <v>1818</v>
      </c>
      <c r="C929" s="15" t="s">
        <v>1862</v>
      </c>
      <c r="D929" s="1" t="s">
        <v>1857</v>
      </c>
      <c r="E929" s="2" t="s">
        <v>1766</v>
      </c>
      <c r="F929" s="7" t="s">
        <v>1864</v>
      </c>
      <c r="G929" s="11">
        <f>46+15122</f>
        <v>15168</v>
      </c>
      <c r="H929" s="17">
        <f t="shared" si="62"/>
        <v>15926.400000000001</v>
      </c>
      <c r="I929" s="17">
        <f t="shared" si="63"/>
        <v>16722.72</v>
      </c>
      <c r="J929" s="112">
        <f t="shared" si="64"/>
        <v>18060.537600000003</v>
      </c>
      <c r="K929" s="112">
        <v>18060.537600000003</v>
      </c>
      <c r="L929" s="17">
        <f t="shared" si="61"/>
        <v>10764.080409600001</v>
      </c>
      <c r="M929" t="s">
        <v>3246</v>
      </c>
    </row>
    <row r="930" spans="1:13" x14ac:dyDescent="0.25">
      <c r="B930" s="6" t="s">
        <v>1819</v>
      </c>
      <c r="C930" s="15" t="s">
        <v>1862</v>
      </c>
      <c r="D930" s="1" t="s">
        <v>1858</v>
      </c>
      <c r="E930" s="2" t="s">
        <v>1767</v>
      </c>
      <c r="F930" s="7" t="s">
        <v>1864</v>
      </c>
      <c r="G930" s="11">
        <f>46+15536</f>
        <v>15582</v>
      </c>
      <c r="H930" s="17">
        <f t="shared" si="62"/>
        <v>16361.1</v>
      </c>
      <c r="I930" s="17">
        <f t="shared" si="63"/>
        <v>17179.155000000002</v>
      </c>
      <c r="J930" s="112">
        <f t="shared" si="64"/>
        <v>18553.487400000005</v>
      </c>
      <c r="K930" s="112">
        <v>18553.487400000005</v>
      </c>
      <c r="L930" s="17">
        <f t="shared" si="61"/>
        <v>11057.878490400002</v>
      </c>
      <c r="M930" t="s">
        <v>3246</v>
      </c>
    </row>
    <row r="931" spans="1:13" x14ac:dyDescent="0.25">
      <c r="B931" s="6" t="s">
        <v>1820</v>
      </c>
      <c r="C931" s="15" t="s">
        <v>1862</v>
      </c>
      <c r="D931" s="1" t="s">
        <v>1859</v>
      </c>
      <c r="E931" s="2" t="s">
        <v>1768</v>
      </c>
      <c r="F931" s="7" t="s">
        <v>1864</v>
      </c>
      <c r="G931" s="11">
        <f>46+15952</f>
        <v>15998</v>
      </c>
      <c r="H931" s="17">
        <f t="shared" si="62"/>
        <v>16797.900000000001</v>
      </c>
      <c r="I931" s="17">
        <f t="shared" si="63"/>
        <v>17637.795000000002</v>
      </c>
      <c r="J931" s="112">
        <f t="shared" si="64"/>
        <v>19048.818600000002</v>
      </c>
      <c r="K931" s="112">
        <v>19048.818600000002</v>
      </c>
      <c r="L931" s="17">
        <f t="shared" si="61"/>
        <v>11353.095885600002</v>
      </c>
      <c r="M931" t="s">
        <v>3246</v>
      </c>
    </row>
    <row r="932" spans="1:13" x14ac:dyDescent="0.25">
      <c r="B932" s="6" t="s">
        <v>1821</v>
      </c>
      <c r="C932" s="15" t="s">
        <v>1862</v>
      </c>
      <c r="D932" s="1" t="s">
        <v>1860</v>
      </c>
      <c r="E932" s="2" t="s">
        <v>1769</v>
      </c>
      <c r="F932" s="7" t="s">
        <v>1864</v>
      </c>
      <c r="G932" s="11">
        <f>46+16367</f>
        <v>16413</v>
      </c>
      <c r="H932" s="17">
        <f t="shared" si="62"/>
        <v>17233.650000000001</v>
      </c>
      <c r="I932" s="17">
        <f t="shared" si="63"/>
        <v>18095.332500000004</v>
      </c>
      <c r="J932" s="112">
        <f t="shared" si="64"/>
        <v>19542.959100000007</v>
      </c>
      <c r="K932" s="112">
        <v>19542.959100000007</v>
      </c>
      <c r="L932" s="17">
        <f t="shared" si="61"/>
        <v>11647.603623600004</v>
      </c>
      <c r="M932" t="s">
        <v>3246</v>
      </c>
    </row>
    <row r="933" spans="1:13" x14ac:dyDescent="0.25">
      <c r="B933" s="6" t="s">
        <v>1822</v>
      </c>
      <c r="C933" s="15" t="s">
        <v>1862</v>
      </c>
      <c r="D933" s="1" t="s">
        <v>1861</v>
      </c>
      <c r="E933" s="2" t="s">
        <v>1770</v>
      </c>
      <c r="F933" s="7" t="s">
        <v>1864</v>
      </c>
      <c r="G933" s="11">
        <f>46+16783</f>
        <v>16829</v>
      </c>
      <c r="H933" s="17">
        <f t="shared" si="62"/>
        <v>17670.45</v>
      </c>
      <c r="I933" s="17">
        <f t="shared" si="63"/>
        <v>18553.9725</v>
      </c>
      <c r="J933" s="112">
        <f t="shared" si="64"/>
        <v>20038.290300000001</v>
      </c>
      <c r="K933" s="112">
        <v>20038.290300000001</v>
      </c>
      <c r="L933" s="17">
        <f t="shared" si="61"/>
        <v>11942.821018799999</v>
      </c>
      <c r="M933" t="s">
        <v>3246</v>
      </c>
    </row>
    <row r="934" spans="1:13" s="62" customFormat="1" x14ac:dyDescent="0.25">
      <c r="A934" s="62" t="s">
        <v>2931</v>
      </c>
      <c r="B934" s="80" t="s">
        <v>2903</v>
      </c>
      <c r="F934" s="63"/>
      <c r="G934" s="63"/>
      <c r="H934" s="17"/>
      <c r="I934" s="17">
        <f t="shared" si="63"/>
        <v>0</v>
      </c>
      <c r="J934" s="113"/>
      <c r="K934" s="70"/>
      <c r="L934" s="70"/>
    </row>
    <row r="935" spans="1:13" x14ac:dyDescent="0.25">
      <c r="A935" s="31"/>
      <c r="B935" s="6" t="s">
        <v>1865</v>
      </c>
      <c r="C935" s="15" t="s">
        <v>1917</v>
      </c>
      <c r="D935" s="1" t="s">
        <v>251</v>
      </c>
      <c r="E935" s="29" t="s">
        <v>1719</v>
      </c>
      <c r="F935" s="7" t="s">
        <v>1918</v>
      </c>
      <c r="G935" s="11">
        <v>7734</v>
      </c>
      <c r="H935" s="17">
        <f t="shared" si="62"/>
        <v>8120.7000000000007</v>
      </c>
      <c r="I935" s="17">
        <f t="shared" si="63"/>
        <v>8526.7350000000006</v>
      </c>
      <c r="J935" s="112">
        <f t="shared" si="64"/>
        <v>9208.8738000000012</v>
      </c>
      <c r="K935" s="112">
        <v>9208.8738000000012</v>
      </c>
      <c r="L935" s="17">
        <f t="shared" si="61"/>
        <v>5488.4887848000008</v>
      </c>
      <c r="M935" t="s">
        <v>3246</v>
      </c>
    </row>
    <row r="936" spans="1:13" x14ac:dyDescent="0.25">
      <c r="A936" s="4"/>
      <c r="B936" s="6" t="s">
        <v>1866</v>
      </c>
      <c r="C936" s="15" t="s">
        <v>1917</v>
      </c>
      <c r="D936" s="1" t="s">
        <v>864</v>
      </c>
      <c r="E936" s="29" t="s">
        <v>1720</v>
      </c>
      <c r="F936" s="7" t="s">
        <v>1918</v>
      </c>
      <c r="G936" s="11">
        <v>7952</v>
      </c>
      <c r="H936" s="17">
        <f t="shared" si="62"/>
        <v>8349.6</v>
      </c>
      <c r="I936" s="17">
        <f t="shared" si="63"/>
        <v>8767.08</v>
      </c>
      <c r="J936" s="112">
        <f t="shared" si="64"/>
        <v>9468.4464000000007</v>
      </c>
      <c r="K936" s="112">
        <v>9468.4464000000007</v>
      </c>
      <c r="L936" s="17">
        <f t="shared" si="61"/>
        <v>5643.1940543999999</v>
      </c>
      <c r="M936" t="s">
        <v>3246</v>
      </c>
    </row>
    <row r="937" spans="1:13" x14ac:dyDescent="0.25">
      <c r="B937" s="6" t="s">
        <v>1867</v>
      </c>
      <c r="C937" s="15" t="s">
        <v>1917</v>
      </c>
      <c r="D937" s="1" t="s">
        <v>865</v>
      </c>
      <c r="E937" s="29" t="s">
        <v>1721</v>
      </c>
      <c r="F937" s="7" t="s">
        <v>1918</v>
      </c>
      <c r="G937" s="11">
        <v>8171</v>
      </c>
      <c r="H937" s="17">
        <f t="shared" si="62"/>
        <v>8579.5500000000011</v>
      </c>
      <c r="I937" s="17">
        <f t="shared" si="63"/>
        <v>9008.527500000002</v>
      </c>
      <c r="J937" s="112">
        <f t="shared" si="64"/>
        <v>9729.2097000000031</v>
      </c>
      <c r="K937" s="112">
        <v>9729.2097000000031</v>
      </c>
      <c r="L937" s="17">
        <f t="shared" si="61"/>
        <v>5798.6089812000018</v>
      </c>
      <c r="M937" t="s">
        <v>3246</v>
      </c>
    </row>
    <row r="938" spans="1:13" x14ac:dyDescent="0.25">
      <c r="B938" s="6" t="s">
        <v>1868</v>
      </c>
      <c r="C938" s="15" t="s">
        <v>1917</v>
      </c>
      <c r="D938" s="1" t="s">
        <v>866</v>
      </c>
      <c r="E938" s="29" t="s">
        <v>1722</v>
      </c>
      <c r="F938" s="7" t="s">
        <v>1918</v>
      </c>
      <c r="G938" s="11">
        <v>8389</v>
      </c>
      <c r="H938" s="17">
        <f t="shared" si="62"/>
        <v>8808.4500000000007</v>
      </c>
      <c r="I938" s="17">
        <f t="shared" si="63"/>
        <v>9248.8725000000013</v>
      </c>
      <c r="J938" s="112">
        <f t="shared" si="64"/>
        <v>9988.7823000000026</v>
      </c>
      <c r="K938" s="112">
        <v>9988.7823000000026</v>
      </c>
      <c r="L938" s="17">
        <f t="shared" si="61"/>
        <v>5953.314250800001</v>
      </c>
      <c r="M938" t="s">
        <v>3246</v>
      </c>
    </row>
    <row r="939" spans="1:13" x14ac:dyDescent="0.25">
      <c r="B939" s="6" t="s">
        <v>1869</v>
      </c>
      <c r="C939" s="15" t="s">
        <v>1917</v>
      </c>
      <c r="D939" s="1" t="s">
        <v>867</v>
      </c>
      <c r="E939" s="29" t="s">
        <v>1723</v>
      </c>
      <c r="F939" s="7" t="s">
        <v>1918</v>
      </c>
      <c r="G939" s="11">
        <v>9343</v>
      </c>
      <c r="H939" s="17">
        <f t="shared" si="62"/>
        <v>9810.15</v>
      </c>
      <c r="I939" s="17">
        <f t="shared" si="63"/>
        <v>10300.657499999999</v>
      </c>
      <c r="J939" s="112">
        <f t="shared" si="64"/>
        <v>11124.7101</v>
      </c>
      <c r="K939" s="112">
        <v>11124.7101</v>
      </c>
      <c r="L939" s="17">
        <f t="shared" si="61"/>
        <v>6630.3272195999998</v>
      </c>
      <c r="M939" t="s">
        <v>3246</v>
      </c>
    </row>
    <row r="940" spans="1:13" x14ac:dyDescent="0.25">
      <c r="B940" s="6" t="s">
        <v>1870</v>
      </c>
      <c r="C940" s="15" t="s">
        <v>1917</v>
      </c>
      <c r="D940" s="1" t="s">
        <v>868</v>
      </c>
      <c r="E940" s="29" t="s">
        <v>1724</v>
      </c>
      <c r="F940" s="7" t="s">
        <v>1919</v>
      </c>
      <c r="G940" s="11">
        <v>10533</v>
      </c>
      <c r="H940" s="17">
        <f t="shared" si="62"/>
        <v>11059.65</v>
      </c>
      <c r="I940" s="17">
        <f t="shared" si="63"/>
        <v>11612.6325</v>
      </c>
      <c r="J940" s="112">
        <f t="shared" si="64"/>
        <v>12541.643100000001</v>
      </c>
      <c r="K940" s="112">
        <v>12541.643100000001</v>
      </c>
      <c r="L940" s="17">
        <f t="shared" si="61"/>
        <v>7474.8192876000003</v>
      </c>
      <c r="M940" t="s">
        <v>3246</v>
      </c>
    </row>
    <row r="941" spans="1:13" x14ac:dyDescent="0.25">
      <c r="B941" s="6" t="s">
        <v>1871</v>
      </c>
      <c r="C941" s="15" t="s">
        <v>1917</v>
      </c>
      <c r="D941" s="1" t="s">
        <v>869</v>
      </c>
      <c r="E941" s="29" t="s">
        <v>1725</v>
      </c>
      <c r="F941" s="7" t="s">
        <v>1919</v>
      </c>
      <c r="G941" s="11">
        <v>10782</v>
      </c>
      <c r="H941" s="17">
        <f t="shared" si="62"/>
        <v>11321.1</v>
      </c>
      <c r="I941" s="17">
        <f t="shared" si="63"/>
        <v>11887.155000000001</v>
      </c>
      <c r="J941" s="112">
        <f t="shared" si="64"/>
        <v>12838.127400000001</v>
      </c>
      <c r="K941" s="112">
        <v>12838.127400000001</v>
      </c>
      <c r="L941" s="17">
        <f t="shared" si="61"/>
        <v>7651.5239304000006</v>
      </c>
      <c r="M941" t="s">
        <v>3246</v>
      </c>
    </row>
    <row r="942" spans="1:13" x14ac:dyDescent="0.25">
      <c r="B942" s="6" t="s">
        <v>1872</v>
      </c>
      <c r="C942" s="15" t="s">
        <v>1917</v>
      </c>
      <c r="D942" s="1" t="s">
        <v>870</v>
      </c>
      <c r="E942" s="29" t="s">
        <v>1726</v>
      </c>
      <c r="F942" s="7" t="s">
        <v>1919</v>
      </c>
      <c r="G942" s="11">
        <v>11032</v>
      </c>
      <c r="H942" s="17">
        <f t="shared" si="62"/>
        <v>11583.6</v>
      </c>
      <c r="I942" s="17">
        <f t="shared" si="63"/>
        <v>12162.78</v>
      </c>
      <c r="J942" s="112">
        <f t="shared" si="64"/>
        <v>13135.802400000002</v>
      </c>
      <c r="K942" s="112">
        <v>13135.802400000002</v>
      </c>
      <c r="L942" s="17">
        <f t="shared" si="61"/>
        <v>7828.938230400001</v>
      </c>
      <c r="M942" t="s">
        <v>3246</v>
      </c>
    </row>
    <row r="943" spans="1:13" x14ac:dyDescent="0.25">
      <c r="B943" s="6" t="s">
        <v>1873</v>
      </c>
      <c r="C943" s="15" t="s">
        <v>1917</v>
      </c>
      <c r="D943" s="1" t="s">
        <v>871</v>
      </c>
      <c r="E943" s="29" t="s">
        <v>1727</v>
      </c>
      <c r="F943" s="7" t="s">
        <v>1919</v>
      </c>
      <c r="G943" s="11">
        <v>11281</v>
      </c>
      <c r="H943" s="17">
        <f t="shared" si="62"/>
        <v>11845.050000000001</v>
      </c>
      <c r="I943" s="17">
        <f t="shared" si="63"/>
        <v>12437.302500000002</v>
      </c>
      <c r="J943" s="112">
        <f t="shared" si="64"/>
        <v>13432.286700000002</v>
      </c>
      <c r="K943" s="112">
        <v>13432.286700000002</v>
      </c>
      <c r="L943" s="17">
        <f t="shared" si="61"/>
        <v>8005.6428732000013</v>
      </c>
      <c r="M943" t="s">
        <v>3246</v>
      </c>
    </row>
    <row r="944" spans="1:13" x14ac:dyDescent="0.25">
      <c r="B944" s="6" t="s">
        <v>1874</v>
      </c>
      <c r="C944" s="15" t="s">
        <v>1917</v>
      </c>
      <c r="D944" s="1" t="s">
        <v>872</v>
      </c>
      <c r="E944" s="29" t="s">
        <v>1728</v>
      </c>
      <c r="F944" s="7" t="s">
        <v>1919</v>
      </c>
      <c r="G944" s="11">
        <v>11529</v>
      </c>
      <c r="H944" s="17">
        <f t="shared" si="62"/>
        <v>12105.45</v>
      </c>
      <c r="I944" s="17">
        <f t="shared" si="63"/>
        <v>12710.722500000002</v>
      </c>
      <c r="J944" s="112">
        <f t="shared" si="64"/>
        <v>13727.580300000003</v>
      </c>
      <c r="K944" s="112">
        <v>13727.580300000003</v>
      </c>
      <c r="L944" s="17">
        <f t="shared" si="61"/>
        <v>8181.6378588000016</v>
      </c>
      <c r="M944" t="s">
        <v>3246</v>
      </c>
    </row>
    <row r="945" spans="1:13" x14ac:dyDescent="0.25">
      <c r="B945" s="6" t="s">
        <v>1875</v>
      </c>
      <c r="C945" s="15" t="s">
        <v>1917</v>
      </c>
      <c r="D945" s="1" t="s">
        <v>873</v>
      </c>
      <c r="E945" s="29" t="s">
        <v>1729</v>
      </c>
      <c r="F945" s="7" t="s">
        <v>1919</v>
      </c>
      <c r="G945" s="11">
        <v>11779</v>
      </c>
      <c r="H945" s="17">
        <f t="shared" si="62"/>
        <v>12367.95</v>
      </c>
      <c r="I945" s="17">
        <f t="shared" si="63"/>
        <v>12986.347500000002</v>
      </c>
      <c r="J945" s="112">
        <f t="shared" si="64"/>
        <v>14025.255300000003</v>
      </c>
      <c r="K945" s="112">
        <v>14025.255300000003</v>
      </c>
      <c r="L945" s="17">
        <f t="shared" si="61"/>
        <v>8359.0521588000011</v>
      </c>
      <c r="M945" t="s">
        <v>3246</v>
      </c>
    </row>
    <row r="946" spans="1:13" x14ac:dyDescent="0.25">
      <c r="B946" s="6" t="s">
        <v>1876</v>
      </c>
      <c r="C946" s="15" t="s">
        <v>1917</v>
      </c>
      <c r="D946" s="1" t="s">
        <v>874</v>
      </c>
      <c r="E946" s="29" t="s">
        <v>1730</v>
      </c>
      <c r="F946" s="7" t="s">
        <v>1919</v>
      </c>
      <c r="G946" s="11">
        <v>12028</v>
      </c>
      <c r="H946" s="17">
        <f t="shared" si="62"/>
        <v>12629.4</v>
      </c>
      <c r="I946" s="17">
        <f t="shared" si="63"/>
        <v>13260.87</v>
      </c>
      <c r="J946" s="112">
        <f t="shared" si="64"/>
        <v>14321.739600000003</v>
      </c>
      <c r="K946" s="112">
        <v>14321.739600000003</v>
      </c>
      <c r="L946" s="17">
        <f t="shared" si="61"/>
        <v>8535.7568016000005</v>
      </c>
      <c r="M946" t="s">
        <v>3246</v>
      </c>
    </row>
    <row r="947" spans="1:13" x14ac:dyDescent="0.25">
      <c r="B947" s="6" t="s">
        <v>1877</v>
      </c>
      <c r="C947" s="15" t="s">
        <v>1917</v>
      </c>
      <c r="D947" s="1" t="s">
        <v>875</v>
      </c>
      <c r="E947" s="29" t="s">
        <v>1731</v>
      </c>
      <c r="F947" s="7" t="s">
        <v>1919</v>
      </c>
      <c r="G947" s="11">
        <v>12277</v>
      </c>
      <c r="H947" s="17">
        <f t="shared" si="62"/>
        <v>12890.85</v>
      </c>
      <c r="I947" s="17">
        <f t="shared" si="63"/>
        <v>13535.392500000002</v>
      </c>
      <c r="J947" s="112">
        <f t="shared" si="64"/>
        <v>14618.223900000003</v>
      </c>
      <c r="K947" s="112">
        <v>14618.223900000003</v>
      </c>
      <c r="L947" s="17">
        <f t="shared" si="61"/>
        <v>8712.4614444000017</v>
      </c>
      <c r="M947" t="s">
        <v>3246</v>
      </c>
    </row>
    <row r="948" spans="1:13" x14ac:dyDescent="0.25">
      <c r="A948" s="29" t="s">
        <v>3198</v>
      </c>
      <c r="B948" s="6" t="s">
        <v>1878</v>
      </c>
      <c r="C948" s="15" t="s">
        <v>1917</v>
      </c>
      <c r="D948" s="1" t="s">
        <v>1823</v>
      </c>
      <c r="E948" s="29" t="s">
        <v>1732</v>
      </c>
      <c r="F948" s="7" t="s">
        <v>1918</v>
      </c>
      <c r="G948" s="11">
        <v>8357</v>
      </c>
      <c r="H948" s="17">
        <f t="shared" si="62"/>
        <v>8774.85</v>
      </c>
      <c r="I948" s="17">
        <f t="shared" si="63"/>
        <v>9213.5925000000007</v>
      </c>
      <c r="J948" s="112">
        <f t="shared" si="64"/>
        <v>9950.679900000001</v>
      </c>
      <c r="K948" s="112">
        <v>9950.679900000001</v>
      </c>
      <c r="L948" s="17">
        <f t="shared" si="61"/>
        <v>5930.6052204000007</v>
      </c>
      <c r="M948" t="s">
        <v>3246</v>
      </c>
    </row>
    <row r="949" spans="1:13" x14ac:dyDescent="0.25">
      <c r="B949" s="6" t="s">
        <v>1879</v>
      </c>
      <c r="C949" s="15" t="s">
        <v>1917</v>
      </c>
      <c r="D949" s="1" t="s">
        <v>1824</v>
      </c>
      <c r="E949" s="29" t="s">
        <v>1733</v>
      </c>
      <c r="F949" s="7" t="s">
        <v>1918</v>
      </c>
      <c r="G949" s="11">
        <v>8607</v>
      </c>
      <c r="H949" s="17">
        <f t="shared" si="62"/>
        <v>9037.35</v>
      </c>
      <c r="I949" s="17">
        <f t="shared" si="63"/>
        <v>9489.2175000000007</v>
      </c>
      <c r="J949" s="112">
        <f t="shared" si="64"/>
        <v>10248.354900000002</v>
      </c>
      <c r="K949" s="112">
        <v>10248.354900000002</v>
      </c>
      <c r="L949" s="17">
        <f t="shared" si="61"/>
        <v>6108.0195204000011</v>
      </c>
      <c r="M949" t="s">
        <v>3246</v>
      </c>
    </row>
    <row r="950" spans="1:13" x14ac:dyDescent="0.25">
      <c r="B950" s="6" t="s">
        <v>1880</v>
      </c>
      <c r="C950" s="15" t="s">
        <v>1917</v>
      </c>
      <c r="D950" s="1" t="s">
        <v>1825</v>
      </c>
      <c r="E950" s="29" t="s">
        <v>1734</v>
      </c>
      <c r="F950" s="7" t="s">
        <v>1918</v>
      </c>
      <c r="G950" s="11">
        <v>8857</v>
      </c>
      <c r="H950" s="17">
        <f t="shared" si="62"/>
        <v>9299.85</v>
      </c>
      <c r="I950" s="17">
        <f t="shared" si="63"/>
        <v>9764.8425000000007</v>
      </c>
      <c r="J950" s="112">
        <f t="shared" si="64"/>
        <v>10546.029900000001</v>
      </c>
      <c r="K950" s="112">
        <v>10546.029900000001</v>
      </c>
      <c r="L950" s="17">
        <f t="shared" si="61"/>
        <v>6285.4338204000005</v>
      </c>
      <c r="M950" t="s">
        <v>3246</v>
      </c>
    </row>
    <row r="951" spans="1:13" x14ac:dyDescent="0.25">
      <c r="B951" s="6" t="s">
        <v>1881</v>
      </c>
      <c r="C951" s="15" t="s">
        <v>1917</v>
      </c>
      <c r="D951" s="1" t="s">
        <v>1826</v>
      </c>
      <c r="E951" s="29" t="s">
        <v>1735</v>
      </c>
      <c r="F951" s="7" t="s">
        <v>1918</v>
      </c>
      <c r="G951" s="11">
        <v>9107</v>
      </c>
      <c r="H951" s="17">
        <f t="shared" si="62"/>
        <v>9562.35</v>
      </c>
      <c r="I951" s="17">
        <f t="shared" si="63"/>
        <v>10040.467500000001</v>
      </c>
      <c r="J951" s="112">
        <f t="shared" si="64"/>
        <v>10843.704900000001</v>
      </c>
      <c r="K951" s="112">
        <v>10843.704900000001</v>
      </c>
      <c r="L951" s="17">
        <f t="shared" si="61"/>
        <v>6462.8481204</v>
      </c>
      <c r="M951" t="s">
        <v>3246</v>
      </c>
    </row>
    <row r="952" spans="1:13" x14ac:dyDescent="0.25">
      <c r="B952" s="6" t="s">
        <v>1882</v>
      </c>
      <c r="C952" s="15" t="s">
        <v>1917</v>
      </c>
      <c r="D952" s="1" t="s">
        <v>1827</v>
      </c>
      <c r="E952" s="29" t="s">
        <v>1736</v>
      </c>
      <c r="F952" s="7" t="s">
        <v>1918</v>
      </c>
      <c r="G952" s="11">
        <v>10197</v>
      </c>
      <c r="H952" s="17">
        <f t="shared" si="62"/>
        <v>10706.85</v>
      </c>
      <c r="I952" s="17">
        <f t="shared" si="63"/>
        <v>11242.192500000001</v>
      </c>
      <c r="J952" s="112">
        <f t="shared" si="64"/>
        <v>12141.567900000002</v>
      </c>
      <c r="K952" s="112">
        <v>12141.567900000002</v>
      </c>
      <c r="L952" s="17">
        <f t="shared" si="61"/>
        <v>7236.3744684000012</v>
      </c>
      <c r="M952" t="s">
        <v>3246</v>
      </c>
    </row>
    <row r="953" spans="1:13" x14ac:dyDescent="0.25">
      <c r="B953" s="6" t="s">
        <v>1883</v>
      </c>
      <c r="C953" s="15" t="s">
        <v>1917</v>
      </c>
      <c r="D953" s="1" t="s">
        <v>1828</v>
      </c>
      <c r="E953" s="29" t="s">
        <v>1737</v>
      </c>
      <c r="F953" s="7" t="s">
        <v>1919</v>
      </c>
      <c r="G953" s="11">
        <v>11423</v>
      </c>
      <c r="H953" s="17">
        <f t="shared" si="62"/>
        <v>11994.15</v>
      </c>
      <c r="I953" s="17">
        <f t="shared" si="63"/>
        <v>12593.8575</v>
      </c>
      <c r="J953" s="112">
        <f t="shared" si="64"/>
        <v>13601.366100000001</v>
      </c>
      <c r="K953" s="112">
        <v>13601.366100000001</v>
      </c>
      <c r="L953" s="17">
        <f t="shared" si="61"/>
        <v>8106.4141956000003</v>
      </c>
      <c r="M953" t="s">
        <v>3246</v>
      </c>
    </row>
    <row r="954" spans="1:13" x14ac:dyDescent="0.25">
      <c r="B954" s="6" t="s">
        <v>1884</v>
      </c>
      <c r="C954" s="15" t="s">
        <v>1917</v>
      </c>
      <c r="D954" s="1" t="s">
        <v>1829</v>
      </c>
      <c r="E954" s="29" t="s">
        <v>1738</v>
      </c>
      <c r="F954" s="7" t="s">
        <v>1919</v>
      </c>
      <c r="G954" s="11">
        <v>11708</v>
      </c>
      <c r="H954" s="17">
        <f t="shared" si="62"/>
        <v>12293.4</v>
      </c>
      <c r="I954" s="17">
        <f t="shared" si="63"/>
        <v>12908.07</v>
      </c>
      <c r="J954" s="112">
        <f t="shared" si="64"/>
        <v>13940.715600000001</v>
      </c>
      <c r="K954" s="112">
        <v>13940.715600000001</v>
      </c>
      <c r="L954" s="17">
        <f t="shared" si="61"/>
        <v>8308.6664976000011</v>
      </c>
      <c r="M954" t="s">
        <v>3246</v>
      </c>
    </row>
    <row r="955" spans="1:13" x14ac:dyDescent="0.25">
      <c r="B955" s="6" t="s">
        <v>1885</v>
      </c>
      <c r="C955" s="15" t="s">
        <v>1917</v>
      </c>
      <c r="D955" s="1" t="s">
        <v>1830</v>
      </c>
      <c r="E955" s="29" t="s">
        <v>1739</v>
      </c>
      <c r="F955" s="7" t="s">
        <v>1919</v>
      </c>
      <c r="G955" s="11">
        <v>11993</v>
      </c>
      <c r="H955" s="17">
        <f t="shared" si="62"/>
        <v>12592.65</v>
      </c>
      <c r="I955" s="17">
        <f t="shared" si="63"/>
        <v>13222.282499999999</v>
      </c>
      <c r="J955" s="112">
        <f t="shared" si="64"/>
        <v>14280.0651</v>
      </c>
      <c r="K955" s="112">
        <v>14280.0651</v>
      </c>
      <c r="L955" s="17">
        <f t="shared" si="61"/>
        <v>8510.9187996000001</v>
      </c>
      <c r="M955" t="s">
        <v>3246</v>
      </c>
    </row>
    <row r="956" spans="1:13" x14ac:dyDescent="0.25">
      <c r="B956" s="6" t="s">
        <v>1886</v>
      </c>
      <c r="C956" s="15" t="s">
        <v>1917</v>
      </c>
      <c r="D956" s="1" t="s">
        <v>1831</v>
      </c>
      <c r="E956" s="29" t="s">
        <v>1740</v>
      </c>
      <c r="F956" s="7" t="s">
        <v>1919</v>
      </c>
      <c r="G956" s="11">
        <v>12277</v>
      </c>
      <c r="H956" s="17">
        <f t="shared" si="62"/>
        <v>12890.85</v>
      </c>
      <c r="I956" s="17">
        <f t="shared" si="63"/>
        <v>13535.392500000002</v>
      </c>
      <c r="J956" s="112">
        <f t="shared" si="64"/>
        <v>14618.223900000003</v>
      </c>
      <c r="K956" s="112">
        <v>14618.223900000003</v>
      </c>
      <c r="L956" s="17">
        <f t="shared" si="61"/>
        <v>8712.4614444000017</v>
      </c>
      <c r="M956" t="s">
        <v>3246</v>
      </c>
    </row>
    <row r="957" spans="1:13" x14ac:dyDescent="0.25">
      <c r="B957" s="6" t="s">
        <v>1887</v>
      </c>
      <c r="C957" s="15" t="s">
        <v>1917</v>
      </c>
      <c r="D957" s="1" t="s">
        <v>1832</v>
      </c>
      <c r="E957" s="29" t="s">
        <v>1741</v>
      </c>
      <c r="F957" s="7" t="s">
        <v>1919</v>
      </c>
      <c r="G957" s="11">
        <v>12533</v>
      </c>
      <c r="H957" s="17">
        <f t="shared" si="62"/>
        <v>13159.650000000001</v>
      </c>
      <c r="I957" s="17">
        <f t="shared" si="63"/>
        <v>13817.632500000002</v>
      </c>
      <c r="J957" s="112">
        <f t="shared" si="64"/>
        <v>14923.043100000003</v>
      </c>
      <c r="K957" s="112">
        <v>14923.043100000003</v>
      </c>
      <c r="L957" s="17">
        <f t="shared" si="61"/>
        <v>8894.1336876000005</v>
      </c>
      <c r="M957" t="s">
        <v>3246</v>
      </c>
    </row>
    <row r="958" spans="1:13" x14ac:dyDescent="0.25">
      <c r="B958" s="6" t="s">
        <v>1888</v>
      </c>
      <c r="C958" s="15" t="s">
        <v>1917</v>
      </c>
      <c r="D958" s="1" t="s">
        <v>1833</v>
      </c>
      <c r="E958" s="29" t="s">
        <v>1742</v>
      </c>
      <c r="F958" s="7" t="s">
        <v>1919</v>
      </c>
      <c r="G958" s="11">
        <v>12846</v>
      </c>
      <c r="H958" s="17">
        <f t="shared" si="62"/>
        <v>13488.300000000001</v>
      </c>
      <c r="I958" s="17">
        <f t="shared" si="63"/>
        <v>14162.715000000002</v>
      </c>
      <c r="J958" s="112">
        <f t="shared" si="64"/>
        <v>15295.732200000004</v>
      </c>
      <c r="K958" s="112">
        <v>15295.732200000004</v>
      </c>
      <c r="L958" s="17">
        <f t="shared" si="61"/>
        <v>9116.2563912000023</v>
      </c>
      <c r="M958" t="s">
        <v>3246</v>
      </c>
    </row>
    <row r="959" spans="1:13" x14ac:dyDescent="0.25">
      <c r="B959" s="6" t="s">
        <v>1889</v>
      </c>
      <c r="C959" s="15" t="s">
        <v>1917</v>
      </c>
      <c r="D959" s="1" t="s">
        <v>1834</v>
      </c>
      <c r="E959" s="29" t="s">
        <v>1743</v>
      </c>
      <c r="F959" s="7" t="s">
        <v>1919</v>
      </c>
      <c r="G959" s="11">
        <v>13131</v>
      </c>
      <c r="H959" s="17">
        <f t="shared" si="62"/>
        <v>13787.550000000001</v>
      </c>
      <c r="I959" s="17">
        <f t="shared" si="63"/>
        <v>14476.927500000002</v>
      </c>
      <c r="J959" s="112">
        <f t="shared" si="64"/>
        <v>15635.081700000002</v>
      </c>
      <c r="K959" s="112">
        <v>15635.081700000002</v>
      </c>
      <c r="L959" s="17">
        <f t="shared" si="61"/>
        <v>9318.5086932000013</v>
      </c>
      <c r="M959" t="s">
        <v>3246</v>
      </c>
    </row>
    <row r="960" spans="1:13" x14ac:dyDescent="0.25">
      <c r="B960" s="6" t="s">
        <v>1890</v>
      </c>
      <c r="C960" s="15" t="s">
        <v>1917</v>
      </c>
      <c r="D960" s="1" t="s">
        <v>1835</v>
      </c>
      <c r="E960" s="29" t="s">
        <v>1744</v>
      </c>
      <c r="F960" s="7" t="s">
        <v>1919</v>
      </c>
      <c r="G960" s="11">
        <v>13416</v>
      </c>
      <c r="H960" s="17">
        <f t="shared" si="62"/>
        <v>14086.800000000001</v>
      </c>
      <c r="I960" s="17">
        <f t="shared" si="63"/>
        <v>14791.140000000001</v>
      </c>
      <c r="J960" s="112">
        <f t="shared" si="64"/>
        <v>15974.431200000003</v>
      </c>
      <c r="K960" s="112">
        <v>15974.431200000003</v>
      </c>
      <c r="L960" s="17">
        <f t="shared" si="61"/>
        <v>9520.7609952000021</v>
      </c>
      <c r="M960" t="s">
        <v>3246</v>
      </c>
    </row>
    <row r="961" spans="2:13" x14ac:dyDescent="0.25">
      <c r="B961" s="6" t="s">
        <v>1891</v>
      </c>
      <c r="C961" s="15" t="s">
        <v>1917</v>
      </c>
      <c r="D961" s="1" t="s">
        <v>1836</v>
      </c>
      <c r="E961" s="29" t="s">
        <v>1745</v>
      </c>
      <c r="F961" s="7" t="s">
        <v>1920</v>
      </c>
      <c r="G961" s="11">
        <f>46+9017</f>
        <v>9063</v>
      </c>
      <c r="H961" s="17">
        <f t="shared" si="62"/>
        <v>9516.15</v>
      </c>
      <c r="I961" s="17">
        <f t="shared" si="63"/>
        <v>9991.9575000000004</v>
      </c>
      <c r="J961" s="112">
        <f t="shared" si="64"/>
        <v>10791.314100000001</v>
      </c>
      <c r="K961" s="112">
        <v>10791.314100000001</v>
      </c>
      <c r="L961" s="17">
        <f t="shared" ref="L961:L986" si="65">K961*0.596</f>
        <v>6431.6232036000001</v>
      </c>
      <c r="M961" t="s">
        <v>3246</v>
      </c>
    </row>
    <row r="962" spans="2:13" x14ac:dyDescent="0.25">
      <c r="B962" s="6" t="s">
        <v>1892</v>
      </c>
      <c r="C962" s="15" t="s">
        <v>1917</v>
      </c>
      <c r="D962" s="1" t="s">
        <v>1837</v>
      </c>
      <c r="E962" s="29" t="s">
        <v>1746</v>
      </c>
      <c r="F962" s="7" t="s">
        <v>1920</v>
      </c>
      <c r="G962" s="11">
        <f>46+9297</f>
        <v>9343</v>
      </c>
      <c r="H962" s="17">
        <f t="shared" ref="H962:H986" si="66">G962*1.05</f>
        <v>9810.15</v>
      </c>
      <c r="I962" s="17">
        <f t="shared" ref="I962:I986" si="67">H962*1.05</f>
        <v>10300.657499999999</v>
      </c>
      <c r="J962" s="112">
        <f t="shared" ref="J962:J986" si="68">I962*1.08</f>
        <v>11124.7101</v>
      </c>
      <c r="K962" s="112">
        <v>11124.7101</v>
      </c>
      <c r="L962" s="17">
        <f t="shared" si="65"/>
        <v>6630.3272195999998</v>
      </c>
      <c r="M962" t="s">
        <v>3246</v>
      </c>
    </row>
    <row r="963" spans="2:13" x14ac:dyDescent="0.25">
      <c r="B963" s="6" t="s">
        <v>1893</v>
      </c>
      <c r="C963" s="15" t="s">
        <v>1917</v>
      </c>
      <c r="D963" s="1" t="s">
        <v>1838</v>
      </c>
      <c r="E963" s="29" t="s">
        <v>1747</v>
      </c>
      <c r="F963" s="7" t="s">
        <v>1920</v>
      </c>
      <c r="G963" s="11">
        <f>46+9279</f>
        <v>9325</v>
      </c>
      <c r="H963" s="17">
        <f t="shared" si="66"/>
        <v>9791.25</v>
      </c>
      <c r="I963" s="17">
        <f t="shared" si="67"/>
        <v>10280.8125</v>
      </c>
      <c r="J963" s="112">
        <f t="shared" si="68"/>
        <v>11103.2775</v>
      </c>
      <c r="K963" s="112">
        <v>11103.2775</v>
      </c>
      <c r="L963" s="17">
        <f t="shared" si="65"/>
        <v>6617.55339</v>
      </c>
      <c r="M963" t="s">
        <v>3246</v>
      </c>
    </row>
    <row r="964" spans="2:13" x14ac:dyDescent="0.25">
      <c r="B964" s="6" t="s">
        <v>1894</v>
      </c>
      <c r="C964" s="15" t="s">
        <v>1917</v>
      </c>
      <c r="D964" s="1" t="s">
        <v>1839</v>
      </c>
      <c r="E964" s="29" t="s">
        <v>1748</v>
      </c>
      <c r="F964" s="7" t="s">
        <v>1920</v>
      </c>
      <c r="G964" s="11">
        <f>46+9859</f>
        <v>9905</v>
      </c>
      <c r="H964" s="17">
        <f t="shared" si="66"/>
        <v>10400.25</v>
      </c>
      <c r="I964" s="17">
        <f t="shared" si="67"/>
        <v>10920.262500000001</v>
      </c>
      <c r="J964" s="112">
        <f t="shared" si="68"/>
        <v>11793.883500000002</v>
      </c>
      <c r="K964" s="112">
        <v>11793.883500000002</v>
      </c>
      <c r="L964" s="17">
        <f t="shared" si="65"/>
        <v>7029.1545660000011</v>
      </c>
      <c r="M964" t="s">
        <v>3246</v>
      </c>
    </row>
    <row r="965" spans="2:13" x14ac:dyDescent="0.25">
      <c r="B965" s="6" t="s">
        <v>1895</v>
      </c>
      <c r="C965" s="15" t="s">
        <v>1917</v>
      </c>
      <c r="D965" s="1" t="s">
        <v>1840</v>
      </c>
      <c r="E965" s="29" t="s">
        <v>1749</v>
      </c>
      <c r="F965" s="7" t="s">
        <v>1920</v>
      </c>
      <c r="G965" s="11">
        <f>46+11086</f>
        <v>11132</v>
      </c>
      <c r="H965" s="17">
        <f t="shared" si="66"/>
        <v>11688.6</v>
      </c>
      <c r="I965" s="17">
        <f t="shared" si="67"/>
        <v>12273.03</v>
      </c>
      <c r="J965" s="112">
        <f t="shared" si="68"/>
        <v>13254.872400000002</v>
      </c>
      <c r="K965" s="112">
        <v>13254.872400000002</v>
      </c>
      <c r="L965" s="17">
        <f t="shared" si="65"/>
        <v>7899.9039504000011</v>
      </c>
      <c r="M965" t="s">
        <v>3246</v>
      </c>
    </row>
    <row r="966" spans="2:13" x14ac:dyDescent="0.25">
      <c r="B966" s="6" t="s">
        <v>1896</v>
      </c>
      <c r="C966" s="15" t="s">
        <v>1917</v>
      </c>
      <c r="D966" s="1" t="s">
        <v>1841</v>
      </c>
      <c r="E966" s="29" t="s">
        <v>1750</v>
      </c>
      <c r="F966" s="7" t="s">
        <v>1921</v>
      </c>
      <c r="G966" s="11">
        <f>46+12062</f>
        <v>12108</v>
      </c>
      <c r="H966" s="17">
        <f t="shared" si="66"/>
        <v>12713.4</v>
      </c>
      <c r="I966" s="17">
        <f t="shared" si="67"/>
        <v>13349.07</v>
      </c>
      <c r="J966" s="112">
        <f t="shared" si="68"/>
        <v>14416.9956</v>
      </c>
      <c r="K966" s="112">
        <v>14416.9956</v>
      </c>
      <c r="L966" s="17">
        <f t="shared" si="65"/>
        <v>8592.5293775999999</v>
      </c>
      <c r="M966" t="s">
        <v>3246</v>
      </c>
    </row>
    <row r="967" spans="2:13" x14ac:dyDescent="0.25">
      <c r="B967" s="6" t="s">
        <v>1897</v>
      </c>
      <c r="C967" s="15" t="s">
        <v>1917</v>
      </c>
      <c r="D967" s="1" t="s">
        <v>1842</v>
      </c>
      <c r="E967" s="29" t="s">
        <v>1751</v>
      </c>
      <c r="F967" s="7" t="s">
        <v>1921</v>
      </c>
      <c r="G967" s="11">
        <f>46+12702</f>
        <v>12748</v>
      </c>
      <c r="H967" s="17">
        <f t="shared" si="66"/>
        <v>13385.400000000001</v>
      </c>
      <c r="I967" s="17">
        <f t="shared" si="67"/>
        <v>14054.670000000002</v>
      </c>
      <c r="J967" s="112">
        <f t="shared" si="68"/>
        <v>15179.043600000003</v>
      </c>
      <c r="K967" s="112">
        <v>15179.043600000003</v>
      </c>
      <c r="L967" s="17">
        <f t="shared" si="65"/>
        <v>9046.7099856000004</v>
      </c>
      <c r="M967" t="s">
        <v>3246</v>
      </c>
    </row>
    <row r="968" spans="2:13" x14ac:dyDescent="0.25">
      <c r="B968" s="6" t="s">
        <v>1898</v>
      </c>
      <c r="C968" s="15" t="s">
        <v>1917</v>
      </c>
      <c r="D968" s="1" t="s">
        <v>1843</v>
      </c>
      <c r="E968" s="29" t="s">
        <v>1752</v>
      </c>
      <c r="F968" s="7" t="s">
        <v>1921</v>
      </c>
      <c r="G968" s="11">
        <f>46+13023</f>
        <v>13069</v>
      </c>
      <c r="H968" s="17">
        <f t="shared" si="66"/>
        <v>13722.45</v>
      </c>
      <c r="I968" s="17">
        <f t="shared" si="67"/>
        <v>14408.572500000002</v>
      </c>
      <c r="J968" s="112">
        <f t="shared" si="68"/>
        <v>15561.258300000003</v>
      </c>
      <c r="K968" s="112">
        <v>15561.258300000003</v>
      </c>
      <c r="L968" s="17">
        <f t="shared" si="65"/>
        <v>9274.5099468000008</v>
      </c>
      <c r="M968" t="s">
        <v>3246</v>
      </c>
    </row>
    <row r="969" spans="2:13" x14ac:dyDescent="0.25">
      <c r="B969" s="6" t="s">
        <v>1899</v>
      </c>
      <c r="C969" s="15" t="s">
        <v>1917</v>
      </c>
      <c r="D969" s="1" t="s">
        <v>1844</v>
      </c>
      <c r="E969" s="29" t="s">
        <v>1753</v>
      </c>
      <c r="F969" s="7" t="s">
        <v>1921</v>
      </c>
      <c r="G969" s="11">
        <f>46+13343</f>
        <v>13389</v>
      </c>
      <c r="H969" s="17">
        <f t="shared" si="66"/>
        <v>14058.45</v>
      </c>
      <c r="I969" s="17">
        <f t="shared" si="67"/>
        <v>14761.372500000001</v>
      </c>
      <c r="J969" s="112">
        <f t="shared" si="68"/>
        <v>15942.282300000003</v>
      </c>
      <c r="K969" s="112">
        <v>15942.282300000003</v>
      </c>
      <c r="L969" s="17">
        <f t="shared" si="65"/>
        <v>9501.600250800002</v>
      </c>
      <c r="M969" t="s">
        <v>3246</v>
      </c>
    </row>
    <row r="970" spans="2:13" x14ac:dyDescent="0.25">
      <c r="B970" s="6" t="s">
        <v>1900</v>
      </c>
      <c r="C970" s="15" t="s">
        <v>1917</v>
      </c>
      <c r="D970" s="1" t="s">
        <v>1845</v>
      </c>
      <c r="E970" s="29" t="s">
        <v>1754</v>
      </c>
      <c r="F970" s="7" t="s">
        <v>1921</v>
      </c>
      <c r="G970" s="11">
        <f>46+13663</f>
        <v>13709</v>
      </c>
      <c r="H970" s="17">
        <f t="shared" si="66"/>
        <v>14394.45</v>
      </c>
      <c r="I970" s="17">
        <f t="shared" si="67"/>
        <v>15114.172500000001</v>
      </c>
      <c r="J970" s="112">
        <f t="shared" si="68"/>
        <v>16323.306300000002</v>
      </c>
      <c r="K970" s="112">
        <v>16323.306300000002</v>
      </c>
      <c r="L970" s="17">
        <f t="shared" si="65"/>
        <v>9728.6905548000013</v>
      </c>
      <c r="M970" t="s">
        <v>3246</v>
      </c>
    </row>
    <row r="971" spans="2:13" x14ac:dyDescent="0.25">
      <c r="B971" s="6" t="s">
        <v>1901</v>
      </c>
      <c r="C971" s="15" t="s">
        <v>1917</v>
      </c>
      <c r="D971" s="1" t="s">
        <v>1846</v>
      </c>
      <c r="E971" s="29" t="s">
        <v>1755</v>
      </c>
      <c r="F971" s="7" t="s">
        <v>1921</v>
      </c>
      <c r="G971" s="11">
        <f>46+13983</f>
        <v>14029</v>
      </c>
      <c r="H971" s="17">
        <f t="shared" si="66"/>
        <v>14730.45</v>
      </c>
      <c r="I971" s="17">
        <f t="shared" si="67"/>
        <v>15466.972500000002</v>
      </c>
      <c r="J971" s="112">
        <f t="shared" si="68"/>
        <v>16704.330300000001</v>
      </c>
      <c r="K971" s="112">
        <v>16704.330300000001</v>
      </c>
      <c r="L971" s="17">
        <f t="shared" si="65"/>
        <v>9955.7808588000007</v>
      </c>
      <c r="M971" t="s">
        <v>3246</v>
      </c>
    </row>
    <row r="972" spans="2:13" x14ac:dyDescent="0.25">
      <c r="B972" s="6" t="s">
        <v>1902</v>
      </c>
      <c r="C972" s="15" t="s">
        <v>1917</v>
      </c>
      <c r="D972" s="1" t="s">
        <v>1847</v>
      </c>
      <c r="E972" s="29" t="s">
        <v>1756</v>
      </c>
      <c r="F972" s="7" t="s">
        <v>1921</v>
      </c>
      <c r="G972" s="11">
        <f>46+14304</f>
        <v>14350</v>
      </c>
      <c r="H972" s="17">
        <f t="shared" si="66"/>
        <v>15067.5</v>
      </c>
      <c r="I972" s="17">
        <f t="shared" si="67"/>
        <v>15820.875</v>
      </c>
      <c r="J972" s="112">
        <f t="shared" si="68"/>
        <v>17086.545000000002</v>
      </c>
      <c r="K972" s="112">
        <v>17086.545000000002</v>
      </c>
      <c r="L972" s="17">
        <f t="shared" si="65"/>
        <v>10183.580820000001</v>
      </c>
      <c r="M972" t="s">
        <v>3246</v>
      </c>
    </row>
    <row r="973" spans="2:13" x14ac:dyDescent="0.25">
      <c r="B973" s="6" t="s">
        <v>1903</v>
      </c>
      <c r="C973" s="15" t="s">
        <v>1917</v>
      </c>
      <c r="D973" s="1" t="s">
        <v>1848</v>
      </c>
      <c r="E973" s="29" t="s">
        <v>1757</v>
      </c>
      <c r="F973" s="7" t="s">
        <v>1921</v>
      </c>
      <c r="G973" s="11">
        <f>46+14624</f>
        <v>14670</v>
      </c>
      <c r="H973" s="17">
        <f t="shared" si="66"/>
        <v>15403.5</v>
      </c>
      <c r="I973" s="17">
        <f t="shared" si="67"/>
        <v>16173.675000000001</v>
      </c>
      <c r="J973" s="112">
        <f t="shared" si="68"/>
        <v>17467.569000000003</v>
      </c>
      <c r="K973" s="112">
        <v>17467.569000000003</v>
      </c>
      <c r="L973" s="17">
        <f t="shared" si="65"/>
        <v>10410.671124000002</v>
      </c>
      <c r="M973" t="s">
        <v>3246</v>
      </c>
    </row>
    <row r="974" spans="2:13" x14ac:dyDescent="0.25">
      <c r="B974" s="6" t="s">
        <v>1904</v>
      </c>
      <c r="C974" s="15" t="s">
        <v>1917</v>
      </c>
      <c r="D974" s="1" t="s">
        <v>1849</v>
      </c>
      <c r="E974" s="29" t="s">
        <v>1758</v>
      </c>
      <c r="F974" s="7" t="s">
        <v>1920</v>
      </c>
      <c r="G974" s="11">
        <f>46+10681</f>
        <v>10727</v>
      </c>
      <c r="H974" s="17">
        <f t="shared" si="66"/>
        <v>11263.35</v>
      </c>
      <c r="I974" s="17">
        <f t="shared" si="67"/>
        <v>11826.517500000002</v>
      </c>
      <c r="J974" s="112">
        <f t="shared" si="68"/>
        <v>12772.638900000004</v>
      </c>
      <c r="K974" s="112">
        <v>12772.638900000004</v>
      </c>
      <c r="L974" s="17">
        <f t="shared" si="65"/>
        <v>7612.4927844000022</v>
      </c>
      <c r="M974" t="s">
        <v>3246</v>
      </c>
    </row>
    <row r="975" spans="2:13" x14ac:dyDescent="0.25">
      <c r="B975" s="6" t="s">
        <v>1905</v>
      </c>
      <c r="C975" s="15" t="s">
        <v>1917</v>
      </c>
      <c r="D975" s="1" t="s">
        <v>1850</v>
      </c>
      <c r="E975" s="29" t="s">
        <v>1759</v>
      </c>
      <c r="F975" s="7" t="s">
        <v>1920</v>
      </c>
      <c r="G975" s="11">
        <f>46+11045</f>
        <v>11091</v>
      </c>
      <c r="H975" s="17">
        <f t="shared" si="66"/>
        <v>11645.550000000001</v>
      </c>
      <c r="I975" s="17">
        <f t="shared" si="67"/>
        <v>12227.827500000001</v>
      </c>
      <c r="J975" s="112">
        <f t="shared" si="68"/>
        <v>13206.053700000002</v>
      </c>
      <c r="K975" s="112">
        <v>13206.053700000002</v>
      </c>
      <c r="L975" s="17">
        <f t="shared" si="65"/>
        <v>7870.8080052000014</v>
      </c>
      <c r="M975" t="s">
        <v>3246</v>
      </c>
    </row>
    <row r="976" spans="2:13" x14ac:dyDescent="0.25">
      <c r="B976" s="6" t="s">
        <v>1906</v>
      </c>
      <c r="C976" s="15" t="s">
        <v>1917</v>
      </c>
      <c r="D976" s="1" t="s">
        <v>1851</v>
      </c>
      <c r="E976" s="29" t="s">
        <v>1760</v>
      </c>
      <c r="F976" s="7" t="s">
        <v>1920</v>
      </c>
      <c r="G976" s="11">
        <f>46+11410</f>
        <v>11456</v>
      </c>
      <c r="H976" s="17">
        <f t="shared" si="66"/>
        <v>12028.800000000001</v>
      </c>
      <c r="I976" s="17">
        <f t="shared" si="67"/>
        <v>12630.240000000002</v>
      </c>
      <c r="J976" s="112">
        <f t="shared" si="68"/>
        <v>13640.659200000002</v>
      </c>
      <c r="K976" s="112">
        <v>13640.659200000002</v>
      </c>
      <c r="L976" s="17">
        <f t="shared" si="65"/>
        <v>8129.8328832000007</v>
      </c>
      <c r="M976" t="s">
        <v>3246</v>
      </c>
    </row>
    <row r="977" spans="1:13" x14ac:dyDescent="0.25">
      <c r="B977" s="6" t="s">
        <v>1907</v>
      </c>
      <c r="C977" s="15" t="s">
        <v>1917</v>
      </c>
      <c r="D977" s="1" t="s">
        <v>1852</v>
      </c>
      <c r="E977" s="29" t="s">
        <v>1761</v>
      </c>
      <c r="F977" s="7" t="s">
        <v>1920</v>
      </c>
      <c r="G977" s="11">
        <f>46+11774</f>
        <v>11820</v>
      </c>
      <c r="H977" s="17">
        <f t="shared" si="66"/>
        <v>12411</v>
      </c>
      <c r="I977" s="17">
        <f t="shared" si="67"/>
        <v>13031.550000000001</v>
      </c>
      <c r="J977" s="112">
        <f t="shared" si="68"/>
        <v>14074.074000000002</v>
      </c>
      <c r="K977" s="112">
        <v>14074.074000000002</v>
      </c>
      <c r="L977" s="17">
        <f t="shared" si="65"/>
        <v>8388.1481040000017</v>
      </c>
      <c r="M977" t="s">
        <v>3246</v>
      </c>
    </row>
    <row r="978" spans="1:13" x14ac:dyDescent="0.25">
      <c r="B978" s="6" t="s">
        <v>1908</v>
      </c>
      <c r="C978" s="15" t="s">
        <v>1917</v>
      </c>
      <c r="D978" s="1" t="s">
        <v>1853</v>
      </c>
      <c r="E978" s="29" t="s">
        <v>1762</v>
      </c>
      <c r="F978" s="7" t="s">
        <v>1920</v>
      </c>
      <c r="G978" s="11">
        <f>46+13364</f>
        <v>13410</v>
      </c>
      <c r="H978" s="17">
        <f t="shared" si="66"/>
        <v>14080.5</v>
      </c>
      <c r="I978" s="17">
        <f t="shared" si="67"/>
        <v>14784.525000000001</v>
      </c>
      <c r="J978" s="112">
        <f t="shared" si="68"/>
        <v>15967.287000000002</v>
      </c>
      <c r="K978" s="112">
        <v>15967.287000000002</v>
      </c>
      <c r="L978" s="17">
        <f t="shared" si="65"/>
        <v>9516.503052</v>
      </c>
      <c r="M978" t="s">
        <v>3246</v>
      </c>
    </row>
    <row r="979" spans="1:13" x14ac:dyDescent="0.25">
      <c r="B979" s="6" t="s">
        <v>1909</v>
      </c>
      <c r="C979" s="15" t="s">
        <v>1917</v>
      </c>
      <c r="D979" s="1" t="s">
        <v>1854</v>
      </c>
      <c r="E979" s="29" t="s">
        <v>1763</v>
      </c>
      <c r="F979" s="7" t="s">
        <v>1921</v>
      </c>
      <c r="G979" s="11">
        <f>46+14755</f>
        <v>14801</v>
      </c>
      <c r="H979" s="17">
        <f t="shared" si="66"/>
        <v>15541.050000000001</v>
      </c>
      <c r="I979" s="17">
        <f t="shared" si="67"/>
        <v>16318.102500000003</v>
      </c>
      <c r="J979" s="112">
        <f t="shared" si="68"/>
        <v>17623.550700000003</v>
      </c>
      <c r="K979" s="112">
        <v>17623.550700000003</v>
      </c>
      <c r="L979" s="17">
        <f t="shared" si="65"/>
        <v>10503.636217200001</v>
      </c>
      <c r="M979" t="s">
        <v>3246</v>
      </c>
    </row>
    <row r="980" spans="1:13" x14ac:dyDescent="0.25">
      <c r="B980" s="6" t="s">
        <v>1910</v>
      </c>
      <c r="C980" s="15" t="s">
        <v>1917</v>
      </c>
      <c r="D980" s="1" t="s">
        <v>1855</v>
      </c>
      <c r="E980" s="29" t="s">
        <v>1764</v>
      </c>
      <c r="F980" s="7" t="s">
        <v>1921</v>
      </c>
      <c r="G980" s="11">
        <f>46+15170</f>
        <v>15216</v>
      </c>
      <c r="H980" s="17">
        <f t="shared" si="66"/>
        <v>15976.800000000001</v>
      </c>
      <c r="I980" s="17">
        <f t="shared" si="67"/>
        <v>16775.640000000003</v>
      </c>
      <c r="J980" s="112">
        <f t="shared" si="68"/>
        <v>18117.691200000005</v>
      </c>
      <c r="K980" s="112">
        <v>18117.691200000005</v>
      </c>
      <c r="L980" s="17">
        <f t="shared" si="65"/>
        <v>10798.143955200003</v>
      </c>
      <c r="M980" t="s">
        <v>3246</v>
      </c>
    </row>
    <row r="981" spans="1:13" x14ac:dyDescent="0.25">
      <c r="B981" s="6" t="s">
        <v>1911</v>
      </c>
      <c r="C981" s="15" t="s">
        <v>1917</v>
      </c>
      <c r="D981" s="1" t="s">
        <v>1856</v>
      </c>
      <c r="E981" s="29" t="s">
        <v>1765</v>
      </c>
      <c r="F981" s="7" t="s">
        <v>1921</v>
      </c>
      <c r="G981" s="11">
        <f>46+15586</f>
        <v>15632</v>
      </c>
      <c r="H981" s="17">
        <f t="shared" si="66"/>
        <v>16413.600000000002</v>
      </c>
      <c r="I981" s="17">
        <f t="shared" si="67"/>
        <v>17234.280000000002</v>
      </c>
      <c r="J981" s="112">
        <f t="shared" si="68"/>
        <v>18613.022400000005</v>
      </c>
      <c r="K981" s="112">
        <v>18613.022400000005</v>
      </c>
      <c r="L981" s="17">
        <f t="shared" si="65"/>
        <v>11093.361350400002</v>
      </c>
      <c r="M981" t="s">
        <v>3246</v>
      </c>
    </row>
    <row r="982" spans="1:13" x14ac:dyDescent="0.25">
      <c r="B982" s="6" t="s">
        <v>1912</v>
      </c>
      <c r="C982" s="15" t="s">
        <v>1917</v>
      </c>
      <c r="D982" s="1" t="s">
        <v>1857</v>
      </c>
      <c r="E982" s="29" t="s">
        <v>1766</v>
      </c>
      <c r="F982" s="7" t="s">
        <v>1921</v>
      </c>
      <c r="G982" s="11">
        <f>46+16000</f>
        <v>16046</v>
      </c>
      <c r="H982" s="17">
        <f t="shared" si="66"/>
        <v>16848.3</v>
      </c>
      <c r="I982" s="17">
        <f t="shared" si="67"/>
        <v>17690.715</v>
      </c>
      <c r="J982" s="112">
        <f t="shared" si="68"/>
        <v>19105.9722</v>
      </c>
      <c r="K982" s="112">
        <v>19105.9722</v>
      </c>
      <c r="L982" s="17">
        <f t="shared" si="65"/>
        <v>11387.1594312</v>
      </c>
      <c r="M982" t="s">
        <v>3246</v>
      </c>
    </row>
    <row r="983" spans="1:13" x14ac:dyDescent="0.25">
      <c r="B983" s="6" t="s">
        <v>1913</v>
      </c>
      <c r="C983" s="15" t="s">
        <v>1917</v>
      </c>
      <c r="D983" s="1" t="s">
        <v>1858</v>
      </c>
      <c r="E983" s="29" t="s">
        <v>1767</v>
      </c>
      <c r="F983" s="7" t="s">
        <v>1921</v>
      </c>
      <c r="G983" s="11">
        <f>46+16415</f>
        <v>16461</v>
      </c>
      <c r="H983" s="17">
        <f t="shared" si="66"/>
        <v>17284.05</v>
      </c>
      <c r="I983" s="17">
        <f t="shared" si="67"/>
        <v>18148.252499999999</v>
      </c>
      <c r="J983" s="112">
        <f t="shared" si="68"/>
        <v>19600.112700000001</v>
      </c>
      <c r="K983" s="112">
        <v>19600.112700000001</v>
      </c>
      <c r="L983" s="17">
        <f t="shared" si="65"/>
        <v>11681.6671692</v>
      </c>
      <c r="M983" t="s">
        <v>3246</v>
      </c>
    </row>
    <row r="984" spans="1:13" x14ac:dyDescent="0.25">
      <c r="B984" s="6" t="s">
        <v>1914</v>
      </c>
      <c r="C984" s="15" t="s">
        <v>1917</v>
      </c>
      <c r="D984" s="1" t="s">
        <v>1859</v>
      </c>
      <c r="E984" s="29" t="s">
        <v>1768</v>
      </c>
      <c r="F984" s="7" t="s">
        <v>1921</v>
      </c>
      <c r="G984" s="11">
        <f>46+16831</f>
        <v>16877</v>
      </c>
      <c r="H984" s="17">
        <f t="shared" si="66"/>
        <v>17720.850000000002</v>
      </c>
      <c r="I984" s="17">
        <f t="shared" si="67"/>
        <v>18606.892500000002</v>
      </c>
      <c r="J984" s="112">
        <f t="shared" si="68"/>
        <v>20095.443900000002</v>
      </c>
      <c r="K984" s="112">
        <v>20095.443900000002</v>
      </c>
      <c r="L984" s="17">
        <f t="shared" si="65"/>
        <v>11976.884564400001</v>
      </c>
      <c r="M984" t="s">
        <v>3246</v>
      </c>
    </row>
    <row r="985" spans="1:13" x14ac:dyDescent="0.25">
      <c r="B985" s="6" t="s">
        <v>1915</v>
      </c>
      <c r="C985" s="15" t="s">
        <v>1917</v>
      </c>
      <c r="D985" s="1" t="s">
        <v>1860</v>
      </c>
      <c r="E985" s="29" t="s">
        <v>1769</v>
      </c>
      <c r="F985" s="7" t="s">
        <v>1921</v>
      </c>
      <c r="G985" s="11">
        <f>46+17246</f>
        <v>17292</v>
      </c>
      <c r="H985" s="17">
        <f t="shared" si="66"/>
        <v>18156.600000000002</v>
      </c>
      <c r="I985" s="17">
        <f t="shared" si="67"/>
        <v>19064.430000000004</v>
      </c>
      <c r="J985" s="112">
        <f t="shared" si="68"/>
        <v>20589.584400000007</v>
      </c>
      <c r="K985" s="112">
        <v>20589.584400000007</v>
      </c>
      <c r="L985" s="17">
        <f t="shared" si="65"/>
        <v>12271.392302400003</v>
      </c>
      <c r="M985" t="s">
        <v>3246</v>
      </c>
    </row>
    <row r="986" spans="1:13" ht="15.75" thickBot="1" x14ac:dyDescent="0.3">
      <c r="B986" s="28" t="s">
        <v>1916</v>
      </c>
      <c r="C986" s="15" t="s">
        <v>1917</v>
      </c>
      <c r="D986" s="1" t="s">
        <v>1861</v>
      </c>
      <c r="E986" s="29" t="s">
        <v>1770</v>
      </c>
      <c r="F986" s="7" t="s">
        <v>1921</v>
      </c>
      <c r="G986" s="11">
        <f>46+17661</f>
        <v>17707</v>
      </c>
      <c r="H986" s="17">
        <f t="shared" si="66"/>
        <v>18592.350000000002</v>
      </c>
      <c r="I986" s="17">
        <f t="shared" si="67"/>
        <v>19521.967500000002</v>
      </c>
      <c r="J986" s="112">
        <f t="shared" si="68"/>
        <v>21083.724900000005</v>
      </c>
      <c r="K986" s="112">
        <v>21083.724900000005</v>
      </c>
      <c r="L986" s="17">
        <f t="shared" si="65"/>
        <v>12565.900040400002</v>
      </c>
      <c r="M986" t="s">
        <v>3246</v>
      </c>
    </row>
    <row r="987" spans="1:13" x14ac:dyDescent="0.25">
      <c r="A987" s="63" t="s">
        <v>3993</v>
      </c>
      <c r="B987" s="114" t="s">
        <v>3995</v>
      </c>
      <c r="C987" s="115"/>
      <c r="D987" s="62"/>
      <c r="E987" s="116"/>
      <c r="F987" s="62"/>
      <c r="G987" s="117"/>
      <c r="H987" s="118"/>
      <c r="I987" s="118"/>
      <c r="J987" s="119"/>
      <c r="K987" s="118"/>
      <c r="L987" s="118"/>
    </row>
    <row r="988" spans="1:13" x14ac:dyDescent="0.25">
      <c r="B988" s="7" t="s">
        <v>3253</v>
      </c>
      <c r="C988" s="7" t="s">
        <v>3742</v>
      </c>
      <c r="D988" s="7" t="s">
        <v>22</v>
      </c>
      <c r="E988" s="2" t="s">
        <v>3741</v>
      </c>
      <c r="F988" s="7" t="s">
        <v>3744</v>
      </c>
      <c r="G988" s="7"/>
      <c r="H988" s="7"/>
      <c r="I988" s="7"/>
      <c r="J988" s="58">
        <v>5904</v>
      </c>
      <c r="K988" s="58">
        <v>5904</v>
      </c>
      <c r="L988" s="120">
        <f>K988*0.596</f>
        <v>3518.7839999999997</v>
      </c>
      <c r="M988" t="s">
        <v>4139</v>
      </c>
    </row>
    <row r="989" spans="1:13" x14ac:dyDescent="0.25">
      <c r="B989" s="7" t="s">
        <v>3254</v>
      </c>
      <c r="C989" s="7" t="s">
        <v>3742</v>
      </c>
      <c r="D989" s="7" t="s">
        <v>23</v>
      </c>
      <c r="E989" s="7" t="s">
        <v>3757</v>
      </c>
      <c r="F989" s="7" t="s">
        <v>3744</v>
      </c>
      <c r="G989" s="58"/>
      <c r="H989" s="58"/>
      <c r="I989" s="58"/>
      <c r="J989" s="58">
        <v>5904</v>
      </c>
      <c r="K989" s="58">
        <v>5904</v>
      </c>
      <c r="L989" s="120">
        <f t="shared" ref="L989:L1052" si="69">K989*0.596</f>
        <v>3518.7839999999997</v>
      </c>
      <c r="M989" t="s">
        <v>4139</v>
      </c>
    </row>
    <row r="990" spans="1:13" x14ac:dyDescent="0.25">
      <c r="B990" s="7" t="s">
        <v>3255</v>
      </c>
      <c r="C990" s="7" t="s">
        <v>3742</v>
      </c>
      <c r="D990" s="7" t="s">
        <v>24</v>
      </c>
      <c r="E990" s="7" t="s">
        <v>3758</v>
      </c>
      <c r="F990" s="7" t="s">
        <v>3744</v>
      </c>
      <c r="G990" s="7"/>
      <c r="H990" s="7"/>
      <c r="I990" s="7"/>
      <c r="J990" s="58">
        <v>5904</v>
      </c>
      <c r="K990" s="58">
        <v>5904</v>
      </c>
      <c r="L990" s="120">
        <f t="shared" si="69"/>
        <v>3518.7839999999997</v>
      </c>
      <c r="M990" t="s">
        <v>4139</v>
      </c>
    </row>
    <row r="991" spans="1:13" x14ac:dyDescent="0.25">
      <c r="B991" s="7" t="s">
        <v>3256</v>
      </c>
      <c r="C991" s="7" t="s">
        <v>3742</v>
      </c>
      <c r="D991" s="7" t="s">
        <v>120</v>
      </c>
      <c r="E991" s="7" t="s">
        <v>3756</v>
      </c>
      <c r="F991" s="7" t="s">
        <v>3744</v>
      </c>
      <c r="G991" s="7"/>
      <c r="H991" s="7"/>
      <c r="I991" s="7"/>
      <c r="J991" s="58">
        <v>5904</v>
      </c>
      <c r="K991" s="58">
        <v>5904</v>
      </c>
      <c r="L991" s="120">
        <f t="shared" si="69"/>
        <v>3518.7839999999997</v>
      </c>
      <c r="M991" t="s">
        <v>4139</v>
      </c>
    </row>
    <row r="992" spans="1:13" x14ac:dyDescent="0.25">
      <c r="B992" s="7" t="s">
        <v>3257</v>
      </c>
      <c r="C992" s="7" t="s">
        <v>3742</v>
      </c>
      <c r="D992" s="7" t="s">
        <v>121</v>
      </c>
      <c r="E992" s="7" t="s">
        <v>3759</v>
      </c>
      <c r="F992" s="7" t="s">
        <v>3744</v>
      </c>
      <c r="G992" s="7"/>
      <c r="H992" s="7"/>
      <c r="I992" s="7"/>
      <c r="J992" s="58">
        <v>5904</v>
      </c>
      <c r="K992" s="58">
        <v>5904</v>
      </c>
      <c r="L992" s="120">
        <f t="shared" si="69"/>
        <v>3518.7839999999997</v>
      </c>
      <c r="M992" t="s">
        <v>4139</v>
      </c>
    </row>
    <row r="993" spans="2:13" x14ac:dyDescent="0.25">
      <c r="B993" s="7" t="s">
        <v>3258</v>
      </c>
      <c r="C993" s="7" t="s">
        <v>3742</v>
      </c>
      <c r="D993" s="7" t="s">
        <v>122</v>
      </c>
      <c r="E993" s="7" t="s">
        <v>3760</v>
      </c>
      <c r="F993" s="7" t="s">
        <v>3744</v>
      </c>
      <c r="G993" s="7"/>
      <c r="H993" s="7"/>
      <c r="I993" s="7"/>
      <c r="J993" s="58">
        <v>13543</v>
      </c>
      <c r="K993" s="58">
        <v>13543</v>
      </c>
      <c r="L993" s="120">
        <f t="shared" si="69"/>
        <v>8071.6279999999997</v>
      </c>
      <c r="M993" t="s">
        <v>4139</v>
      </c>
    </row>
    <row r="994" spans="2:13" x14ac:dyDescent="0.25">
      <c r="B994" s="7" t="s">
        <v>3259</v>
      </c>
      <c r="C994" s="7" t="s">
        <v>3742</v>
      </c>
      <c r="D994" s="7" t="s">
        <v>123</v>
      </c>
      <c r="E994" s="7" t="s">
        <v>3761</v>
      </c>
      <c r="F994" s="7" t="s">
        <v>3744</v>
      </c>
      <c r="G994" s="7"/>
      <c r="H994" s="7"/>
      <c r="I994" s="7"/>
      <c r="J994" s="58">
        <v>13543</v>
      </c>
      <c r="K994" s="58">
        <v>13543</v>
      </c>
      <c r="L994" s="120">
        <f t="shared" si="69"/>
        <v>8071.6279999999997</v>
      </c>
      <c r="M994" t="s">
        <v>4139</v>
      </c>
    </row>
    <row r="995" spans="2:13" x14ac:dyDescent="0.25">
      <c r="B995" s="7" t="s">
        <v>3260</v>
      </c>
      <c r="C995" s="7" t="s">
        <v>3742</v>
      </c>
      <c r="D995" s="7" t="s">
        <v>138</v>
      </c>
      <c r="E995" s="7" t="s">
        <v>3762</v>
      </c>
      <c r="F995" s="7" t="s">
        <v>3744</v>
      </c>
      <c r="G995" s="7"/>
      <c r="H995" s="7"/>
      <c r="I995" s="7"/>
      <c r="J995" s="58">
        <v>13543</v>
      </c>
      <c r="K995" s="58">
        <v>13543</v>
      </c>
      <c r="L995" s="120">
        <f t="shared" si="69"/>
        <v>8071.6279999999997</v>
      </c>
      <c r="M995" t="s">
        <v>4139</v>
      </c>
    </row>
    <row r="996" spans="2:13" x14ac:dyDescent="0.25">
      <c r="B996" s="7" t="s">
        <v>3261</v>
      </c>
      <c r="C996" s="7" t="s">
        <v>3742</v>
      </c>
      <c r="D996" s="7" t="s">
        <v>139</v>
      </c>
      <c r="E996" s="7" t="s">
        <v>3763</v>
      </c>
      <c r="F996" s="7" t="s">
        <v>3744</v>
      </c>
      <c r="G996" s="7"/>
      <c r="H996" s="7"/>
      <c r="I996" s="7"/>
      <c r="J996" s="58">
        <v>13543</v>
      </c>
      <c r="K996" s="58">
        <v>13543</v>
      </c>
      <c r="L996" s="120">
        <f t="shared" si="69"/>
        <v>8071.6279999999997</v>
      </c>
      <c r="M996" t="s">
        <v>4139</v>
      </c>
    </row>
    <row r="997" spans="2:13" x14ac:dyDescent="0.25">
      <c r="B997" s="7" t="s">
        <v>3262</v>
      </c>
      <c r="C997" s="7" t="s">
        <v>3742</v>
      </c>
      <c r="D997" s="7" t="s">
        <v>140</v>
      </c>
      <c r="E997" s="7" t="s">
        <v>3764</v>
      </c>
      <c r="F997" s="7" t="s">
        <v>3744</v>
      </c>
      <c r="G997" s="7"/>
      <c r="H997" s="7"/>
      <c r="I997" s="7"/>
      <c r="J997" s="58">
        <v>13543</v>
      </c>
      <c r="K997" s="58">
        <v>13543</v>
      </c>
      <c r="L997" s="120">
        <f t="shared" si="69"/>
        <v>8071.6279999999997</v>
      </c>
      <c r="M997" t="s">
        <v>4139</v>
      </c>
    </row>
    <row r="998" spans="2:13" x14ac:dyDescent="0.25">
      <c r="B998" s="7" t="s">
        <v>3263</v>
      </c>
      <c r="C998" s="7" t="s">
        <v>3742</v>
      </c>
      <c r="D998" s="7" t="s">
        <v>141</v>
      </c>
      <c r="E998" s="7" t="s">
        <v>3765</v>
      </c>
      <c r="F998" s="7" t="s">
        <v>3744</v>
      </c>
      <c r="G998" s="7"/>
      <c r="H998" s="7"/>
      <c r="I998" s="7"/>
      <c r="J998" s="58">
        <v>13543</v>
      </c>
      <c r="K998" s="58">
        <v>13543</v>
      </c>
      <c r="L998" s="120">
        <f t="shared" si="69"/>
        <v>8071.6279999999997</v>
      </c>
      <c r="M998" t="s">
        <v>4139</v>
      </c>
    </row>
    <row r="999" spans="2:13" x14ac:dyDescent="0.25">
      <c r="B999" s="7" t="s">
        <v>3264</v>
      </c>
      <c r="C999" s="7" t="s">
        <v>3742</v>
      </c>
      <c r="D999" s="7" t="s">
        <v>124</v>
      </c>
      <c r="E999" s="7" t="s">
        <v>3766</v>
      </c>
      <c r="F999" s="7" t="s">
        <v>3744</v>
      </c>
      <c r="G999" s="7"/>
      <c r="H999" s="7"/>
      <c r="I999" s="7"/>
      <c r="J999" s="58">
        <v>5904</v>
      </c>
      <c r="K999" s="58">
        <v>5904</v>
      </c>
      <c r="L999" s="120">
        <f t="shared" si="69"/>
        <v>3518.7839999999997</v>
      </c>
      <c r="M999" t="s">
        <v>4139</v>
      </c>
    </row>
    <row r="1000" spans="2:13" x14ac:dyDescent="0.25">
      <c r="B1000" s="7" t="s">
        <v>3265</v>
      </c>
      <c r="C1000" s="7" t="s">
        <v>3742</v>
      </c>
      <c r="D1000" s="7" t="s">
        <v>125</v>
      </c>
      <c r="E1000" s="7" t="s">
        <v>3767</v>
      </c>
      <c r="F1000" s="7" t="s">
        <v>3744</v>
      </c>
      <c r="G1000" s="7"/>
      <c r="H1000" s="7"/>
      <c r="I1000" s="7"/>
      <c r="J1000" s="58">
        <v>5904</v>
      </c>
      <c r="K1000" s="58">
        <v>5904</v>
      </c>
      <c r="L1000" s="120">
        <f t="shared" si="69"/>
        <v>3518.7839999999997</v>
      </c>
      <c r="M1000" t="s">
        <v>4139</v>
      </c>
    </row>
    <row r="1001" spans="2:13" x14ac:dyDescent="0.25">
      <c r="B1001" s="7" t="s">
        <v>3266</v>
      </c>
      <c r="C1001" s="7" t="s">
        <v>3742</v>
      </c>
      <c r="D1001" s="7" t="s">
        <v>126</v>
      </c>
      <c r="E1001" s="7" t="s">
        <v>3768</v>
      </c>
      <c r="F1001" s="7" t="s">
        <v>3744</v>
      </c>
      <c r="G1001" s="7"/>
      <c r="H1001" s="7"/>
      <c r="I1001" s="7"/>
      <c r="J1001" s="58">
        <v>5904</v>
      </c>
      <c r="K1001" s="58">
        <v>5904</v>
      </c>
      <c r="L1001" s="120">
        <f t="shared" si="69"/>
        <v>3518.7839999999997</v>
      </c>
      <c r="M1001" t="s">
        <v>4139</v>
      </c>
    </row>
    <row r="1002" spans="2:13" x14ac:dyDescent="0.25">
      <c r="B1002" s="7" t="s">
        <v>3267</v>
      </c>
      <c r="C1002" s="7" t="s">
        <v>3742</v>
      </c>
      <c r="D1002" s="7" t="s">
        <v>127</v>
      </c>
      <c r="E1002" s="7" t="s">
        <v>3769</v>
      </c>
      <c r="F1002" s="7" t="s">
        <v>3744</v>
      </c>
      <c r="G1002" s="7"/>
      <c r="H1002" s="7"/>
      <c r="I1002" s="7"/>
      <c r="J1002" s="58">
        <v>5904</v>
      </c>
      <c r="K1002" s="58">
        <v>5904</v>
      </c>
      <c r="L1002" s="120">
        <f t="shared" si="69"/>
        <v>3518.7839999999997</v>
      </c>
      <c r="M1002" t="s">
        <v>4139</v>
      </c>
    </row>
    <row r="1003" spans="2:13" x14ac:dyDescent="0.25">
      <c r="B1003" s="7" t="s">
        <v>3268</v>
      </c>
      <c r="C1003" s="7" t="s">
        <v>3742</v>
      </c>
      <c r="D1003" s="7" t="s">
        <v>128</v>
      </c>
      <c r="E1003" s="7" t="s">
        <v>3770</v>
      </c>
      <c r="F1003" s="7" t="s">
        <v>3744</v>
      </c>
      <c r="G1003" s="7"/>
      <c r="H1003" s="7"/>
      <c r="I1003" s="7"/>
      <c r="J1003" s="58">
        <v>5904</v>
      </c>
      <c r="K1003" s="58">
        <v>5904</v>
      </c>
      <c r="L1003" s="120">
        <f t="shared" si="69"/>
        <v>3518.7839999999997</v>
      </c>
      <c r="M1003" t="s">
        <v>4139</v>
      </c>
    </row>
    <row r="1004" spans="2:13" x14ac:dyDescent="0.25">
      <c r="B1004" s="7" t="s">
        <v>3269</v>
      </c>
      <c r="C1004" s="7" t="s">
        <v>3742</v>
      </c>
      <c r="D1004" s="7" t="s">
        <v>129</v>
      </c>
      <c r="E1004" s="7" t="s">
        <v>3771</v>
      </c>
      <c r="F1004" s="7" t="s">
        <v>3744</v>
      </c>
      <c r="G1004" s="7"/>
      <c r="H1004" s="7"/>
      <c r="I1004" s="7"/>
      <c r="J1004" s="58">
        <v>13543</v>
      </c>
      <c r="K1004" s="58">
        <v>13543</v>
      </c>
      <c r="L1004" s="120">
        <f t="shared" si="69"/>
        <v>8071.6279999999997</v>
      </c>
      <c r="M1004" t="s">
        <v>4139</v>
      </c>
    </row>
    <row r="1005" spans="2:13" x14ac:dyDescent="0.25">
      <c r="B1005" s="7" t="s">
        <v>3270</v>
      </c>
      <c r="C1005" s="7" t="s">
        <v>3742</v>
      </c>
      <c r="D1005" s="7" t="s">
        <v>130</v>
      </c>
      <c r="E1005" s="7" t="s">
        <v>3772</v>
      </c>
      <c r="F1005" s="7" t="s">
        <v>3744</v>
      </c>
      <c r="G1005" s="7"/>
      <c r="H1005" s="7"/>
      <c r="I1005" s="7"/>
      <c r="J1005" s="58">
        <v>13543</v>
      </c>
      <c r="K1005" s="58">
        <v>13543</v>
      </c>
      <c r="L1005" s="120">
        <f t="shared" si="69"/>
        <v>8071.6279999999997</v>
      </c>
      <c r="M1005" t="s">
        <v>4139</v>
      </c>
    </row>
    <row r="1006" spans="2:13" x14ac:dyDescent="0.25">
      <c r="B1006" s="7" t="s">
        <v>3271</v>
      </c>
      <c r="C1006" s="7" t="s">
        <v>3742</v>
      </c>
      <c r="D1006" s="7" t="s">
        <v>142</v>
      </c>
      <c r="E1006" s="7" t="s">
        <v>3773</v>
      </c>
      <c r="F1006" s="7" t="s">
        <v>3744</v>
      </c>
      <c r="G1006" s="7"/>
      <c r="H1006" s="7"/>
      <c r="I1006" s="7"/>
      <c r="J1006" s="58">
        <v>13543</v>
      </c>
      <c r="K1006" s="58">
        <v>13543</v>
      </c>
      <c r="L1006" s="120">
        <f t="shared" si="69"/>
        <v>8071.6279999999997</v>
      </c>
      <c r="M1006" t="s">
        <v>4139</v>
      </c>
    </row>
    <row r="1007" spans="2:13" x14ac:dyDescent="0.25">
      <c r="B1007" s="7" t="s">
        <v>3272</v>
      </c>
      <c r="C1007" s="7" t="s">
        <v>3742</v>
      </c>
      <c r="D1007" s="7" t="s">
        <v>143</v>
      </c>
      <c r="E1007" s="7" t="s">
        <v>3774</v>
      </c>
      <c r="F1007" s="7" t="s">
        <v>3744</v>
      </c>
      <c r="G1007" s="7"/>
      <c r="H1007" s="7"/>
      <c r="I1007" s="7"/>
      <c r="J1007" s="58">
        <v>13543</v>
      </c>
      <c r="K1007" s="58">
        <v>13543</v>
      </c>
      <c r="L1007" s="120">
        <f t="shared" si="69"/>
        <v>8071.6279999999997</v>
      </c>
      <c r="M1007" t="s">
        <v>4139</v>
      </c>
    </row>
    <row r="1008" spans="2:13" x14ac:dyDescent="0.25">
      <c r="B1008" s="7" t="s">
        <v>3273</v>
      </c>
      <c r="C1008" s="7" t="s">
        <v>3742</v>
      </c>
      <c r="D1008" s="7" t="s">
        <v>144</v>
      </c>
      <c r="E1008" s="7" t="s">
        <v>3775</v>
      </c>
      <c r="F1008" s="7" t="s">
        <v>3744</v>
      </c>
      <c r="G1008" s="7"/>
      <c r="H1008" s="7"/>
      <c r="I1008" s="7"/>
      <c r="J1008" s="58">
        <v>13543</v>
      </c>
      <c r="K1008" s="58">
        <v>13543</v>
      </c>
      <c r="L1008" s="120">
        <f t="shared" si="69"/>
        <v>8071.6279999999997</v>
      </c>
      <c r="M1008" t="s">
        <v>4139</v>
      </c>
    </row>
    <row r="1009" spans="1:13" x14ac:dyDescent="0.25">
      <c r="B1009" s="7" t="s">
        <v>3274</v>
      </c>
      <c r="C1009" s="7" t="s">
        <v>3742</v>
      </c>
      <c r="D1009" s="7" t="s">
        <v>145</v>
      </c>
      <c r="E1009" s="7" t="s">
        <v>3776</v>
      </c>
      <c r="F1009" s="7" t="s">
        <v>3744</v>
      </c>
      <c r="G1009" s="7"/>
      <c r="H1009" s="7"/>
      <c r="I1009" s="7"/>
      <c r="J1009" s="58">
        <v>13543</v>
      </c>
      <c r="K1009" s="58">
        <v>13543</v>
      </c>
      <c r="L1009" s="120">
        <f t="shared" si="69"/>
        <v>8071.6279999999997</v>
      </c>
      <c r="M1009" t="s">
        <v>4139</v>
      </c>
    </row>
    <row r="1010" spans="1:13" x14ac:dyDescent="0.25">
      <c r="B1010" s="7" t="s">
        <v>3275</v>
      </c>
      <c r="C1010" s="7" t="s">
        <v>3742</v>
      </c>
      <c r="D1010" s="7" t="s">
        <v>131</v>
      </c>
      <c r="E1010" s="7" t="s">
        <v>3777</v>
      </c>
      <c r="F1010" s="7" t="s">
        <v>3744</v>
      </c>
      <c r="G1010" s="7"/>
      <c r="H1010" s="7"/>
      <c r="I1010" s="7"/>
      <c r="J1010" s="58">
        <v>5904</v>
      </c>
      <c r="K1010" s="58">
        <v>5904</v>
      </c>
      <c r="L1010" s="120">
        <f t="shared" si="69"/>
        <v>3518.7839999999997</v>
      </c>
      <c r="M1010" t="s">
        <v>4139</v>
      </c>
    </row>
    <row r="1011" spans="1:13" x14ac:dyDescent="0.25">
      <c r="B1011" s="7" t="s">
        <v>3276</v>
      </c>
      <c r="C1011" s="7" t="s">
        <v>3742</v>
      </c>
      <c r="D1011" s="7" t="s">
        <v>132</v>
      </c>
      <c r="E1011" s="7" t="s">
        <v>3778</v>
      </c>
      <c r="F1011" s="7" t="s">
        <v>3744</v>
      </c>
      <c r="G1011" s="7"/>
      <c r="H1011" s="7"/>
      <c r="I1011" s="7"/>
      <c r="J1011" s="58">
        <v>5904</v>
      </c>
      <c r="K1011" s="58">
        <v>5904</v>
      </c>
      <c r="L1011" s="120">
        <f t="shared" si="69"/>
        <v>3518.7839999999997</v>
      </c>
      <c r="M1011" t="s">
        <v>4139</v>
      </c>
    </row>
    <row r="1012" spans="1:13" x14ac:dyDescent="0.25">
      <c r="B1012" s="7" t="s">
        <v>3277</v>
      </c>
      <c r="C1012" s="7" t="s">
        <v>3742</v>
      </c>
      <c r="D1012" s="7" t="s">
        <v>133</v>
      </c>
      <c r="E1012" s="7" t="s">
        <v>3779</v>
      </c>
      <c r="F1012" s="7" t="s">
        <v>3744</v>
      </c>
      <c r="G1012" s="7"/>
      <c r="H1012" s="7"/>
      <c r="I1012" s="7"/>
      <c r="J1012" s="58">
        <v>5904</v>
      </c>
      <c r="K1012" s="58">
        <v>5904</v>
      </c>
      <c r="L1012" s="120">
        <f t="shared" si="69"/>
        <v>3518.7839999999997</v>
      </c>
      <c r="M1012" t="s">
        <v>4139</v>
      </c>
    </row>
    <row r="1013" spans="1:13" x14ac:dyDescent="0.25">
      <c r="B1013" s="7" t="s">
        <v>3278</v>
      </c>
      <c r="C1013" s="7" t="s">
        <v>3742</v>
      </c>
      <c r="D1013" s="7" t="s">
        <v>134</v>
      </c>
      <c r="E1013" s="7" t="s">
        <v>3780</v>
      </c>
      <c r="F1013" s="7" t="s">
        <v>3744</v>
      </c>
      <c r="G1013" s="7"/>
      <c r="H1013" s="7"/>
      <c r="I1013" s="7"/>
      <c r="J1013" s="58">
        <v>5904</v>
      </c>
      <c r="K1013" s="58">
        <v>5904</v>
      </c>
      <c r="L1013" s="120">
        <f t="shared" si="69"/>
        <v>3518.7839999999997</v>
      </c>
      <c r="M1013" t="s">
        <v>4139</v>
      </c>
    </row>
    <row r="1014" spans="1:13" x14ac:dyDescent="0.25">
      <c r="B1014" s="7" t="s">
        <v>3279</v>
      </c>
      <c r="C1014" s="7" t="s">
        <v>3742</v>
      </c>
      <c r="D1014" s="7" t="s">
        <v>135</v>
      </c>
      <c r="E1014" s="7" t="s">
        <v>3781</v>
      </c>
      <c r="F1014" s="7" t="s">
        <v>3744</v>
      </c>
      <c r="G1014" s="7"/>
      <c r="H1014" s="7"/>
      <c r="I1014" s="7"/>
      <c r="J1014" s="58">
        <v>5904</v>
      </c>
      <c r="K1014" s="58">
        <v>5904</v>
      </c>
      <c r="L1014" s="120">
        <f t="shared" si="69"/>
        <v>3518.7839999999997</v>
      </c>
      <c r="M1014" t="s">
        <v>4139</v>
      </c>
    </row>
    <row r="1015" spans="1:13" x14ac:dyDescent="0.25">
      <c r="B1015" s="7" t="s">
        <v>3280</v>
      </c>
      <c r="C1015" s="7" t="s">
        <v>3742</v>
      </c>
      <c r="D1015" s="7" t="s">
        <v>136</v>
      </c>
      <c r="E1015" s="7" t="s">
        <v>3782</v>
      </c>
      <c r="F1015" s="7" t="s">
        <v>3744</v>
      </c>
      <c r="G1015" s="7"/>
      <c r="H1015" s="7"/>
      <c r="I1015" s="7"/>
      <c r="J1015" s="58">
        <v>13543</v>
      </c>
      <c r="K1015" s="58">
        <v>13543</v>
      </c>
      <c r="L1015" s="120">
        <f t="shared" si="69"/>
        <v>8071.6279999999997</v>
      </c>
      <c r="M1015" t="s">
        <v>4139</v>
      </c>
    </row>
    <row r="1016" spans="1:13" x14ac:dyDescent="0.25">
      <c r="B1016" s="7" t="s">
        <v>3281</v>
      </c>
      <c r="C1016" s="7" t="s">
        <v>3742</v>
      </c>
      <c r="D1016" s="7" t="s">
        <v>137</v>
      </c>
      <c r="E1016" s="7" t="s">
        <v>3783</v>
      </c>
      <c r="F1016" s="7" t="s">
        <v>3744</v>
      </c>
      <c r="G1016" s="7"/>
      <c r="H1016" s="7"/>
      <c r="I1016" s="7"/>
      <c r="J1016" s="58">
        <v>13543</v>
      </c>
      <c r="K1016" s="58">
        <v>13543</v>
      </c>
      <c r="L1016" s="120">
        <f t="shared" si="69"/>
        <v>8071.6279999999997</v>
      </c>
      <c r="M1016" t="s">
        <v>4139</v>
      </c>
    </row>
    <row r="1017" spans="1:13" x14ac:dyDescent="0.25">
      <c r="B1017" s="7" t="s">
        <v>3282</v>
      </c>
      <c r="C1017" s="7" t="s">
        <v>3742</v>
      </c>
      <c r="D1017" s="7" t="s">
        <v>146</v>
      </c>
      <c r="E1017" s="7" t="s">
        <v>3784</v>
      </c>
      <c r="F1017" s="7" t="s">
        <v>3744</v>
      </c>
      <c r="G1017" s="7"/>
      <c r="H1017" s="7"/>
      <c r="I1017" s="7"/>
      <c r="J1017" s="58">
        <v>13543</v>
      </c>
      <c r="K1017" s="58">
        <v>13543</v>
      </c>
      <c r="L1017" s="120">
        <f t="shared" si="69"/>
        <v>8071.6279999999997</v>
      </c>
      <c r="M1017" t="s">
        <v>4139</v>
      </c>
    </row>
    <row r="1018" spans="1:13" x14ac:dyDescent="0.25">
      <c r="B1018" s="7" t="s">
        <v>3283</v>
      </c>
      <c r="C1018" s="7" t="s">
        <v>3742</v>
      </c>
      <c r="D1018" s="7" t="s">
        <v>156</v>
      </c>
      <c r="E1018" s="7" t="s">
        <v>3785</v>
      </c>
      <c r="F1018" s="7" t="s">
        <v>3744</v>
      </c>
      <c r="G1018" s="7"/>
      <c r="H1018" s="7"/>
      <c r="I1018" s="7"/>
      <c r="J1018" s="58">
        <v>13543</v>
      </c>
      <c r="K1018" s="58">
        <v>13543</v>
      </c>
      <c r="L1018" s="120">
        <f t="shared" si="69"/>
        <v>8071.6279999999997</v>
      </c>
      <c r="M1018" t="s">
        <v>4139</v>
      </c>
    </row>
    <row r="1019" spans="1:13" x14ac:dyDescent="0.25">
      <c r="B1019" s="7" t="s">
        <v>3284</v>
      </c>
      <c r="C1019" s="7" t="s">
        <v>3742</v>
      </c>
      <c r="D1019" s="7" t="s">
        <v>148</v>
      </c>
      <c r="E1019" s="7" t="s">
        <v>3786</v>
      </c>
      <c r="F1019" s="7" t="s">
        <v>3744</v>
      </c>
      <c r="G1019" s="7"/>
      <c r="H1019" s="7"/>
      <c r="I1019" s="7"/>
      <c r="J1019" s="58">
        <v>13543</v>
      </c>
      <c r="K1019" s="58">
        <v>13543</v>
      </c>
      <c r="L1019" s="120">
        <f t="shared" si="69"/>
        <v>8071.6279999999997</v>
      </c>
      <c r="M1019" t="s">
        <v>4139</v>
      </c>
    </row>
    <row r="1020" spans="1:13" x14ac:dyDescent="0.25">
      <c r="B1020" s="7" t="s">
        <v>3285</v>
      </c>
      <c r="C1020" s="7" t="s">
        <v>3742</v>
      </c>
      <c r="D1020" s="7" t="s">
        <v>149</v>
      </c>
      <c r="E1020" s="7" t="s">
        <v>3787</v>
      </c>
      <c r="F1020" s="7" t="s">
        <v>3744</v>
      </c>
      <c r="G1020" s="7"/>
      <c r="H1020" s="7"/>
      <c r="I1020" s="7"/>
      <c r="J1020" s="58">
        <v>13543</v>
      </c>
      <c r="K1020" s="58">
        <v>13543</v>
      </c>
      <c r="L1020" s="120">
        <f t="shared" si="69"/>
        <v>8071.6279999999997</v>
      </c>
      <c r="M1020" t="s">
        <v>4139</v>
      </c>
    </row>
    <row r="1021" spans="1:13" x14ac:dyDescent="0.25">
      <c r="A1021" s="63" t="s">
        <v>3993</v>
      </c>
      <c r="B1021" s="121" t="s">
        <v>3994</v>
      </c>
      <c r="C1021" s="68"/>
      <c r="D1021" s="63"/>
      <c r="E1021" s="64"/>
      <c r="F1021" s="63"/>
      <c r="G1021" s="65"/>
      <c r="H1021" s="70"/>
      <c r="I1021" s="70"/>
      <c r="J1021" s="122"/>
      <c r="K1021" s="70"/>
      <c r="L1021" s="126"/>
    </row>
    <row r="1022" spans="1:13" x14ac:dyDescent="0.25">
      <c r="B1022" s="7" t="s">
        <v>3286</v>
      </c>
      <c r="C1022" s="7" t="s">
        <v>3743</v>
      </c>
      <c r="D1022" s="7" t="s">
        <v>22</v>
      </c>
      <c r="E1022" s="7" t="s">
        <v>3741</v>
      </c>
      <c r="F1022" s="7" t="s">
        <v>3747</v>
      </c>
      <c r="G1022" s="7"/>
      <c r="H1022" s="7"/>
      <c r="I1022" s="7"/>
      <c r="J1022" s="58">
        <v>7411</v>
      </c>
      <c r="K1022" s="123">
        <f>J1022*1.11</f>
        <v>8226.2100000000009</v>
      </c>
      <c r="L1022" s="120">
        <f t="shared" si="69"/>
        <v>4902.8211600000004</v>
      </c>
      <c r="M1022" t="s">
        <v>4140</v>
      </c>
    </row>
    <row r="1023" spans="1:13" x14ac:dyDescent="0.25">
      <c r="B1023" s="7" t="s">
        <v>3287</v>
      </c>
      <c r="C1023" s="7" t="s">
        <v>3743</v>
      </c>
      <c r="D1023" s="7" t="s">
        <v>23</v>
      </c>
      <c r="E1023" s="7" t="s">
        <v>3757</v>
      </c>
      <c r="F1023" s="7" t="s">
        <v>3747</v>
      </c>
      <c r="G1023" s="7"/>
      <c r="H1023" s="7"/>
      <c r="I1023" s="7"/>
      <c r="J1023" s="58">
        <v>7411</v>
      </c>
      <c r="K1023" s="123">
        <f t="shared" ref="K1023:K1054" si="70">J1023*1.11</f>
        <v>8226.2100000000009</v>
      </c>
      <c r="L1023" s="120">
        <f t="shared" si="69"/>
        <v>4902.8211600000004</v>
      </c>
      <c r="M1023" t="s">
        <v>4140</v>
      </c>
    </row>
    <row r="1024" spans="1:13" x14ac:dyDescent="0.25">
      <c r="B1024" s="7" t="s">
        <v>3288</v>
      </c>
      <c r="C1024" s="7" t="s">
        <v>3743</v>
      </c>
      <c r="D1024" s="7" t="s">
        <v>24</v>
      </c>
      <c r="E1024" s="7" t="s">
        <v>3758</v>
      </c>
      <c r="F1024" s="7" t="s">
        <v>3747</v>
      </c>
      <c r="G1024" s="7"/>
      <c r="H1024" s="7"/>
      <c r="I1024" s="7"/>
      <c r="J1024" s="58">
        <v>7411</v>
      </c>
      <c r="K1024" s="123">
        <f t="shared" si="70"/>
        <v>8226.2100000000009</v>
      </c>
      <c r="L1024" s="120">
        <f t="shared" si="69"/>
        <v>4902.8211600000004</v>
      </c>
      <c r="M1024" t="s">
        <v>4140</v>
      </c>
    </row>
    <row r="1025" spans="2:13" x14ac:dyDescent="0.25">
      <c r="B1025" s="7" t="s">
        <v>3289</v>
      </c>
      <c r="C1025" s="7" t="s">
        <v>3743</v>
      </c>
      <c r="D1025" s="7" t="s">
        <v>120</v>
      </c>
      <c r="E1025" s="7" t="s">
        <v>3756</v>
      </c>
      <c r="F1025" s="7" t="s">
        <v>3747</v>
      </c>
      <c r="G1025" s="7"/>
      <c r="H1025" s="7"/>
      <c r="I1025" s="7"/>
      <c r="J1025" s="58">
        <v>7411</v>
      </c>
      <c r="K1025" s="123">
        <f t="shared" si="70"/>
        <v>8226.2100000000009</v>
      </c>
      <c r="L1025" s="120">
        <f t="shared" si="69"/>
        <v>4902.8211600000004</v>
      </c>
      <c r="M1025" t="s">
        <v>4140</v>
      </c>
    </row>
    <row r="1026" spans="2:13" x14ac:dyDescent="0.25">
      <c r="B1026" s="7" t="s">
        <v>3290</v>
      </c>
      <c r="C1026" s="7" t="s">
        <v>3743</v>
      </c>
      <c r="D1026" s="7" t="s">
        <v>121</v>
      </c>
      <c r="E1026" s="7" t="s">
        <v>3759</v>
      </c>
      <c r="F1026" s="7" t="s">
        <v>3747</v>
      </c>
      <c r="G1026" s="7"/>
      <c r="H1026" s="7"/>
      <c r="I1026" s="7"/>
      <c r="J1026" s="58">
        <v>7411</v>
      </c>
      <c r="K1026" s="123">
        <f t="shared" si="70"/>
        <v>8226.2100000000009</v>
      </c>
      <c r="L1026" s="120">
        <f t="shared" si="69"/>
        <v>4902.8211600000004</v>
      </c>
      <c r="M1026" t="s">
        <v>4140</v>
      </c>
    </row>
    <row r="1027" spans="2:13" x14ac:dyDescent="0.25">
      <c r="B1027" s="7" t="s">
        <v>3291</v>
      </c>
      <c r="C1027" s="7" t="s">
        <v>3743</v>
      </c>
      <c r="D1027" s="7" t="s">
        <v>122</v>
      </c>
      <c r="E1027" s="7" t="s">
        <v>3760</v>
      </c>
      <c r="F1027" s="7" t="s">
        <v>3747</v>
      </c>
      <c r="G1027" s="7"/>
      <c r="H1027" s="7"/>
      <c r="I1027" s="7"/>
      <c r="J1027" s="58">
        <v>15019</v>
      </c>
      <c r="K1027" s="123">
        <f t="shared" si="70"/>
        <v>16671.09</v>
      </c>
      <c r="L1027" s="120">
        <f t="shared" si="69"/>
        <v>9935.9696399999993</v>
      </c>
      <c r="M1027" t="s">
        <v>4140</v>
      </c>
    </row>
    <row r="1028" spans="2:13" x14ac:dyDescent="0.25">
      <c r="B1028" s="7" t="s">
        <v>3292</v>
      </c>
      <c r="C1028" s="7" t="s">
        <v>3743</v>
      </c>
      <c r="D1028" s="7" t="s">
        <v>123</v>
      </c>
      <c r="E1028" s="7" t="s">
        <v>3761</v>
      </c>
      <c r="F1028" s="7" t="s">
        <v>3747</v>
      </c>
      <c r="G1028" s="7"/>
      <c r="H1028" s="7"/>
      <c r="I1028" s="7"/>
      <c r="J1028" s="58">
        <v>15019</v>
      </c>
      <c r="K1028" s="123">
        <f t="shared" si="70"/>
        <v>16671.09</v>
      </c>
      <c r="L1028" s="120">
        <f t="shared" si="69"/>
        <v>9935.9696399999993</v>
      </c>
      <c r="M1028" t="s">
        <v>4140</v>
      </c>
    </row>
    <row r="1029" spans="2:13" x14ac:dyDescent="0.25">
      <c r="B1029" s="7" t="s">
        <v>3293</v>
      </c>
      <c r="C1029" s="7" t="s">
        <v>3743</v>
      </c>
      <c r="D1029" s="7" t="s">
        <v>138</v>
      </c>
      <c r="E1029" s="7" t="s">
        <v>3762</v>
      </c>
      <c r="F1029" s="7" t="s">
        <v>3747</v>
      </c>
      <c r="G1029" s="7"/>
      <c r="H1029" s="7"/>
      <c r="I1029" s="7"/>
      <c r="J1029" s="58">
        <v>15019</v>
      </c>
      <c r="K1029" s="123">
        <f t="shared" si="70"/>
        <v>16671.09</v>
      </c>
      <c r="L1029" s="120">
        <f t="shared" si="69"/>
        <v>9935.9696399999993</v>
      </c>
      <c r="M1029" t="s">
        <v>4140</v>
      </c>
    </row>
    <row r="1030" spans="2:13" x14ac:dyDescent="0.25">
      <c r="B1030" s="7" t="s">
        <v>3294</v>
      </c>
      <c r="C1030" s="7" t="s">
        <v>3743</v>
      </c>
      <c r="D1030" s="7" t="s">
        <v>139</v>
      </c>
      <c r="E1030" s="7" t="s">
        <v>3763</v>
      </c>
      <c r="F1030" s="7" t="s">
        <v>3747</v>
      </c>
      <c r="G1030" s="7"/>
      <c r="H1030" s="7"/>
      <c r="I1030" s="7"/>
      <c r="J1030" s="58">
        <v>15019</v>
      </c>
      <c r="K1030" s="123">
        <f t="shared" si="70"/>
        <v>16671.09</v>
      </c>
      <c r="L1030" s="120">
        <f t="shared" si="69"/>
        <v>9935.9696399999993</v>
      </c>
      <c r="M1030" t="s">
        <v>4140</v>
      </c>
    </row>
    <row r="1031" spans="2:13" x14ac:dyDescent="0.25">
      <c r="B1031" s="7" t="s">
        <v>3295</v>
      </c>
      <c r="C1031" s="7" t="s">
        <v>3743</v>
      </c>
      <c r="D1031" s="7" t="s">
        <v>140</v>
      </c>
      <c r="E1031" s="7" t="s">
        <v>3764</v>
      </c>
      <c r="F1031" s="7" t="s">
        <v>3747</v>
      </c>
      <c r="G1031" s="7"/>
      <c r="H1031" s="7"/>
      <c r="I1031" s="7"/>
      <c r="J1031" s="58">
        <v>15019</v>
      </c>
      <c r="K1031" s="123">
        <f t="shared" si="70"/>
        <v>16671.09</v>
      </c>
      <c r="L1031" s="120">
        <f t="shared" si="69"/>
        <v>9935.9696399999993</v>
      </c>
      <c r="M1031" t="s">
        <v>4140</v>
      </c>
    </row>
    <row r="1032" spans="2:13" x14ac:dyDescent="0.25">
      <c r="B1032" s="7" t="s">
        <v>3296</v>
      </c>
      <c r="C1032" s="7" t="s">
        <v>3743</v>
      </c>
      <c r="D1032" s="7" t="s">
        <v>141</v>
      </c>
      <c r="E1032" s="7" t="s">
        <v>3765</v>
      </c>
      <c r="F1032" s="7" t="s">
        <v>3747</v>
      </c>
      <c r="G1032" s="7"/>
      <c r="H1032" s="7"/>
      <c r="I1032" s="7"/>
      <c r="J1032" s="58">
        <v>15019</v>
      </c>
      <c r="K1032" s="123">
        <f t="shared" si="70"/>
        <v>16671.09</v>
      </c>
      <c r="L1032" s="120">
        <f t="shared" si="69"/>
        <v>9935.9696399999993</v>
      </c>
      <c r="M1032" t="s">
        <v>4140</v>
      </c>
    </row>
    <row r="1033" spans="2:13" x14ac:dyDescent="0.25">
      <c r="B1033" s="7" t="s">
        <v>3297</v>
      </c>
      <c r="C1033" s="7" t="s">
        <v>3743</v>
      </c>
      <c r="D1033" s="7" t="s">
        <v>124</v>
      </c>
      <c r="E1033" s="7" t="s">
        <v>3766</v>
      </c>
      <c r="F1033" s="7" t="s">
        <v>3747</v>
      </c>
      <c r="G1033" s="7"/>
      <c r="H1033" s="7"/>
      <c r="I1033" s="7"/>
      <c r="J1033" s="58">
        <v>7411</v>
      </c>
      <c r="K1033" s="123">
        <f t="shared" si="70"/>
        <v>8226.2100000000009</v>
      </c>
      <c r="L1033" s="120">
        <f t="shared" si="69"/>
        <v>4902.8211600000004</v>
      </c>
      <c r="M1033" t="s">
        <v>4140</v>
      </c>
    </row>
    <row r="1034" spans="2:13" x14ac:dyDescent="0.25">
      <c r="B1034" s="7" t="s">
        <v>3298</v>
      </c>
      <c r="C1034" s="7" t="s">
        <v>3743</v>
      </c>
      <c r="D1034" s="7" t="s">
        <v>125</v>
      </c>
      <c r="E1034" s="7" t="s">
        <v>3767</v>
      </c>
      <c r="F1034" s="7" t="s">
        <v>3747</v>
      </c>
      <c r="G1034" s="7"/>
      <c r="H1034" s="7"/>
      <c r="I1034" s="7"/>
      <c r="J1034" s="58">
        <v>7411</v>
      </c>
      <c r="K1034" s="123">
        <f t="shared" si="70"/>
        <v>8226.2100000000009</v>
      </c>
      <c r="L1034" s="120">
        <f t="shared" si="69"/>
        <v>4902.8211600000004</v>
      </c>
      <c r="M1034" t="s">
        <v>4140</v>
      </c>
    </row>
    <row r="1035" spans="2:13" x14ac:dyDescent="0.25">
      <c r="B1035" s="7" t="s">
        <v>3299</v>
      </c>
      <c r="C1035" s="7" t="s">
        <v>3743</v>
      </c>
      <c r="D1035" s="7" t="s">
        <v>126</v>
      </c>
      <c r="E1035" s="7" t="s">
        <v>3768</v>
      </c>
      <c r="F1035" s="7" t="s">
        <v>3747</v>
      </c>
      <c r="G1035" s="7"/>
      <c r="H1035" s="7"/>
      <c r="I1035" s="7"/>
      <c r="J1035" s="58">
        <v>7411</v>
      </c>
      <c r="K1035" s="123">
        <f t="shared" si="70"/>
        <v>8226.2100000000009</v>
      </c>
      <c r="L1035" s="120">
        <f t="shared" si="69"/>
        <v>4902.8211600000004</v>
      </c>
      <c r="M1035" t="s">
        <v>4140</v>
      </c>
    </row>
    <row r="1036" spans="2:13" x14ac:dyDescent="0.25">
      <c r="B1036" s="7" t="s">
        <v>3300</v>
      </c>
      <c r="C1036" s="7" t="s">
        <v>3743</v>
      </c>
      <c r="D1036" s="7" t="s">
        <v>127</v>
      </c>
      <c r="E1036" s="7" t="s">
        <v>3769</v>
      </c>
      <c r="F1036" s="7" t="s">
        <v>3747</v>
      </c>
      <c r="G1036" s="7"/>
      <c r="H1036" s="7"/>
      <c r="I1036" s="7"/>
      <c r="J1036" s="58">
        <v>7411</v>
      </c>
      <c r="K1036" s="123">
        <f t="shared" si="70"/>
        <v>8226.2100000000009</v>
      </c>
      <c r="L1036" s="120">
        <f t="shared" si="69"/>
        <v>4902.8211600000004</v>
      </c>
      <c r="M1036" t="s">
        <v>4140</v>
      </c>
    </row>
    <row r="1037" spans="2:13" x14ac:dyDescent="0.25">
      <c r="B1037" s="7" t="s">
        <v>3301</v>
      </c>
      <c r="C1037" s="7" t="s">
        <v>3743</v>
      </c>
      <c r="D1037" s="7" t="s">
        <v>128</v>
      </c>
      <c r="E1037" s="7" t="s">
        <v>3770</v>
      </c>
      <c r="F1037" s="7" t="s">
        <v>3747</v>
      </c>
      <c r="G1037" s="7"/>
      <c r="H1037" s="7"/>
      <c r="I1037" s="7"/>
      <c r="J1037" s="58">
        <v>7411</v>
      </c>
      <c r="K1037" s="123">
        <f t="shared" si="70"/>
        <v>8226.2100000000009</v>
      </c>
      <c r="L1037" s="120">
        <f t="shared" si="69"/>
        <v>4902.8211600000004</v>
      </c>
      <c r="M1037" t="s">
        <v>4140</v>
      </c>
    </row>
    <row r="1038" spans="2:13" x14ac:dyDescent="0.25">
      <c r="B1038" s="7" t="s">
        <v>3302</v>
      </c>
      <c r="C1038" s="7" t="s">
        <v>3743</v>
      </c>
      <c r="D1038" s="7" t="s">
        <v>129</v>
      </c>
      <c r="E1038" s="7" t="s">
        <v>3771</v>
      </c>
      <c r="F1038" s="7" t="s">
        <v>3747</v>
      </c>
      <c r="G1038" s="7"/>
      <c r="H1038" s="7"/>
      <c r="I1038" s="7"/>
      <c r="J1038" s="58">
        <v>15019</v>
      </c>
      <c r="K1038" s="123">
        <f t="shared" si="70"/>
        <v>16671.09</v>
      </c>
      <c r="L1038" s="120">
        <f t="shared" si="69"/>
        <v>9935.9696399999993</v>
      </c>
      <c r="M1038" t="s">
        <v>4140</v>
      </c>
    </row>
    <row r="1039" spans="2:13" x14ac:dyDescent="0.25">
      <c r="B1039" s="7" t="s">
        <v>3303</v>
      </c>
      <c r="C1039" s="7" t="s">
        <v>3743</v>
      </c>
      <c r="D1039" s="7" t="s">
        <v>130</v>
      </c>
      <c r="E1039" s="7" t="s">
        <v>3772</v>
      </c>
      <c r="F1039" s="7" t="s">
        <v>3747</v>
      </c>
      <c r="G1039" s="7"/>
      <c r="H1039" s="7"/>
      <c r="I1039" s="7"/>
      <c r="J1039" s="58">
        <v>15019</v>
      </c>
      <c r="K1039" s="123">
        <f t="shared" si="70"/>
        <v>16671.09</v>
      </c>
      <c r="L1039" s="120">
        <f t="shared" si="69"/>
        <v>9935.9696399999993</v>
      </c>
      <c r="M1039" t="s">
        <v>4140</v>
      </c>
    </row>
    <row r="1040" spans="2:13" x14ac:dyDescent="0.25">
      <c r="B1040" s="7" t="s">
        <v>3304</v>
      </c>
      <c r="C1040" s="7" t="s">
        <v>3743</v>
      </c>
      <c r="D1040" s="7" t="s">
        <v>142</v>
      </c>
      <c r="E1040" s="7" t="s">
        <v>3773</v>
      </c>
      <c r="F1040" s="7" t="s">
        <v>3747</v>
      </c>
      <c r="G1040" s="7"/>
      <c r="H1040" s="7"/>
      <c r="I1040" s="7"/>
      <c r="J1040" s="58">
        <v>15019</v>
      </c>
      <c r="K1040" s="123">
        <f t="shared" si="70"/>
        <v>16671.09</v>
      </c>
      <c r="L1040" s="120">
        <f t="shared" si="69"/>
        <v>9935.9696399999993</v>
      </c>
      <c r="M1040" t="s">
        <v>4140</v>
      </c>
    </row>
    <row r="1041" spans="1:13" x14ac:dyDescent="0.25">
      <c r="B1041" s="7" t="s">
        <v>3305</v>
      </c>
      <c r="C1041" s="7" t="s">
        <v>3743</v>
      </c>
      <c r="D1041" s="7" t="s">
        <v>143</v>
      </c>
      <c r="E1041" s="7" t="s">
        <v>3774</v>
      </c>
      <c r="F1041" s="7" t="s">
        <v>3747</v>
      </c>
      <c r="G1041" s="7"/>
      <c r="H1041" s="7"/>
      <c r="I1041" s="7"/>
      <c r="J1041" s="58">
        <v>15019</v>
      </c>
      <c r="K1041" s="123">
        <f t="shared" si="70"/>
        <v>16671.09</v>
      </c>
      <c r="L1041" s="120">
        <f t="shared" si="69"/>
        <v>9935.9696399999993</v>
      </c>
      <c r="M1041" t="s">
        <v>4140</v>
      </c>
    </row>
    <row r="1042" spans="1:13" x14ac:dyDescent="0.25">
      <c r="B1042" s="7" t="s">
        <v>3306</v>
      </c>
      <c r="C1042" s="7" t="s">
        <v>3743</v>
      </c>
      <c r="D1042" s="7" t="s">
        <v>144</v>
      </c>
      <c r="E1042" s="7" t="s">
        <v>3775</v>
      </c>
      <c r="F1042" s="7" t="s">
        <v>3747</v>
      </c>
      <c r="G1042" s="7"/>
      <c r="H1042" s="7"/>
      <c r="I1042" s="7"/>
      <c r="J1042" s="58">
        <v>15019</v>
      </c>
      <c r="K1042" s="123">
        <f t="shared" si="70"/>
        <v>16671.09</v>
      </c>
      <c r="L1042" s="120">
        <f t="shared" si="69"/>
        <v>9935.9696399999993</v>
      </c>
      <c r="M1042" t="s">
        <v>4140</v>
      </c>
    </row>
    <row r="1043" spans="1:13" x14ac:dyDescent="0.25">
      <c r="B1043" s="7" t="s">
        <v>3307</v>
      </c>
      <c r="C1043" s="7" t="s">
        <v>3743</v>
      </c>
      <c r="D1043" s="7" t="s">
        <v>145</v>
      </c>
      <c r="E1043" s="7" t="s">
        <v>3776</v>
      </c>
      <c r="F1043" s="7" t="s">
        <v>3747</v>
      </c>
      <c r="G1043" s="7"/>
      <c r="H1043" s="7"/>
      <c r="I1043" s="7"/>
      <c r="J1043" s="58">
        <v>15019</v>
      </c>
      <c r="K1043" s="123">
        <f t="shared" si="70"/>
        <v>16671.09</v>
      </c>
      <c r="L1043" s="120">
        <f t="shared" si="69"/>
        <v>9935.9696399999993</v>
      </c>
      <c r="M1043" t="s">
        <v>4140</v>
      </c>
    </row>
    <row r="1044" spans="1:13" x14ac:dyDescent="0.25">
      <c r="B1044" s="7" t="s">
        <v>3308</v>
      </c>
      <c r="C1044" s="7" t="s">
        <v>3743</v>
      </c>
      <c r="D1044" s="7" t="s">
        <v>131</v>
      </c>
      <c r="E1044" s="7" t="s">
        <v>3777</v>
      </c>
      <c r="F1044" s="7" t="s">
        <v>3747</v>
      </c>
      <c r="G1044" s="7"/>
      <c r="H1044" s="7"/>
      <c r="I1044" s="7"/>
      <c r="J1044" s="58">
        <v>7411</v>
      </c>
      <c r="K1044" s="123">
        <f t="shared" si="70"/>
        <v>8226.2100000000009</v>
      </c>
      <c r="L1044" s="120">
        <f t="shared" si="69"/>
        <v>4902.8211600000004</v>
      </c>
      <c r="M1044" t="s">
        <v>4140</v>
      </c>
    </row>
    <row r="1045" spans="1:13" x14ac:dyDescent="0.25">
      <c r="B1045" s="7" t="s">
        <v>3309</v>
      </c>
      <c r="C1045" s="7" t="s">
        <v>3743</v>
      </c>
      <c r="D1045" s="7" t="s">
        <v>132</v>
      </c>
      <c r="E1045" s="7" t="s">
        <v>3778</v>
      </c>
      <c r="F1045" s="7" t="s">
        <v>3747</v>
      </c>
      <c r="G1045" s="7"/>
      <c r="H1045" s="7"/>
      <c r="I1045" s="7"/>
      <c r="J1045" s="58">
        <v>7411</v>
      </c>
      <c r="K1045" s="123">
        <f t="shared" si="70"/>
        <v>8226.2100000000009</v>
      </c>
      <c r="L1045" s="120">
        <f t="shared" si="69"/>
        <v>4902.8211600000004</v>
      </c>
      <c r="M1045" t="s">
        <v>4140</v>
      </c>
    </row>
    <row r="1046" spans="1:13" x14ac:dyDescent="0.25">
      <c r="B1046" s="7" t="s">
        <v>3310</v>
      </c>
      <c r="C1046" s="7" t="s">
        <v>3743</v>
      </c>
      <c r="D1046" s="7" t="s">
        <v>133</v>
      </c>
      <c r="E1046" s="7" t="s">
        <v>3779</v>
      </c>
      <c r="F1046" s="7" t="s">
        <v>3747</v>
      </c>
      <c r="G1046" s="7"/>
      <c r="H1046" s="7"/>
      <c r="I1046" s="7"/>
      <c r="J1046" s="58">
        <v>7411</v>
      </c>
      <c r="K1046" s="123">
        <f t="shared" si="70"/>
        <v>8226.2100000000009</v>
      </c>
      <c r="L1046" s="120">
        <f t="shared" si="69"/>
        <v>4902.8211600000004</v>
      </c>
      <c r="M1046" t="s">
        <v>4140</v>
      </c>
    </row>
    <row r="1047" spans="1:13" x14ac:dyDescent="0.25">
      <c r="B1047" s="7" t="s">
        <v>3311</v>
      </c>
      <c r="C1047" s="7" t="s">
        <v>3743</v>
      </c>
      <c r="D1047" s="7" t="s">
        <v>134</v>
      </c>
      <c r="E1047" s="7" t="s">
        <v>3780</v>
      </c>
      <c r="F1047" s="7" t="s">
        <v>3747</v>
      </c>
      <c r="G1047" s="7"/>
      <c r="H1047" s="7"/>
      <c r="I1047" s="7"/>
      <c r="J1047" s="58">
        <v>7411</v>
      </c>
      <c r="K1047" s="123">
        <f t="shared" si="70"/>
        <v>8226.2100000000009</v>
      </c>
      <c r="L1047" s="120">
        <f t="shared" si="69"/>
        <v>4902.8211600000004</v>
      </c>
      <c r="M1047" t="s">
        <v>4140</v>
      </c>
    </row>
    <row r="1048" spans="1:13" x14ac:dyDescent="0.25">
      <c r="B1048" s="7" t="s">
        <v>3312</v>
      </c>
      <c r="C1048" s="7" t="s">
        <v>3743</v>
      </c>
      <c r="D1048" s="7" t="s">
        <v>135</v>
      </c>
      <c r="E1048" s="7" t="s">
        <v>3781</v>
      </c>
      <c r="F1048" s="7" t="s">
        <v>3747</v>
      </c>
      <c r="G1048" s="7"/>
      <c r="H1048" s="7"/>
      <c r="I1048" s="7"/>
      <c r="J1048" s="58">
        <v>7411</v>
      </c>
      <c r="K1048" s="123">
        <f t="shared" si="70"/>
        <v>8226.2100000000009</v>
      </c>
      <c r="L1048" s="120">
        <f t="shared" si="69"/>
        <v>4902.8211600000004</v>
      </c>
      <c r="M1048" t="s">
        <v>4140</v>
      </c>
    </row>
    <row r="1049" spans="1:13" x14ac:dyDescent="0.25">
      <c r="B1049" s="7" t="s">
        <v>3313</v>
      </c>
      <c r="C1049" s="7" t="s">
        <v>3743</v>
      </c>
      <c r="D1049" s="7" t="s">
        <v>136</v>
      </c>
      <c r="E1049" s="7" t="s">
        <v>3782</v>
      </c>
      <c r="F1049" s="7" t="s">
        <v>3747</v>
      </c>
      <c r="G1049" s="7"/>
      <c r="H1049" s="7"/>
      <c r="I1049" s="7"/>
      <c r="J1049" s="58">
        <v>15019</v>
      </c>
      <c r="K1049" s="123">
        <f t="shared" si="70"/>
        <v>16671.09</v>
      </c>
      <c r="L1049" s="120">
        <f t="shared" si="69"/>
        <v>9935.9696399999993</v>
      </c>
      <c r="M1049" t="s">
        <v>4140</v>
      </c>
    </row>
    <row r="1050" spans="1:13" x14ac:dyDescent="0.25">
      <c r="B1050" s="7" t="s">
        <v>3314</v>
      </c>
      <c r="C1050" s="7" t="s">
        <v>3743</v>
      </c>
      <c r="D1050" s="7" t="s">
        <v>137</v>
      </c>
      <c r="E1050" s="7" t="s">
        <v>3783</v>
      </c>
      <c r="F1050" s="7" t="s">
        <v>3747</v>
      </c>
      <c r="G1050" s="7"/>
      <c r="H1050" s="7"/>
      <c r="I1050" s="7"/>
      <c r="J1050" s="58">
        <v>15019</v>
      </c>
      <c r="K1050" s="123">
        <f t="shared" si="70"/>
        <v>16671.09</v>
      </c>
      <c r="L1050" s="120">
        <f t="shared" si="69"/>
        <v>9935.9696399999993</v>
      </c>
      <c r="M1050" t="s">
        <v>4140</v>
      </c>
    </row>
    <row r="1051" spans="1:13" x14ac:dyDescent="0.25">
      <c r="B1051" s="7" t="s">
        <v>3315</v>
      </c>
      <c r="C1051" s="7" t="s">
        <v>3743</v>
      </c>
      <c r="D1051" s="7" t="s">
        <v>146</v>
      </c>
      <c r="E1051" s="7" t="s">
        <v>3784</v>
      </c>
      <c r="F1051" s="7" t="s">
        <v>3747</v>
      </c>
      <c r="G1051" s="7"/>
      <c r="H1051" s="7"/>
      <c r="I1051" s="7"/>
      <c r="J1051" s="58">
        <v>15019</v>
      </c>
      <c r="K1051" s="123">
        <f t="shared" si="70"/>
        <v>16671.09</v>
      </c>
      <c r="L1051" s="120">
        <f t="shared" si="69"/>
        <v>9935.9696399999993</v>
      </c>
      <c r="M1051" t="s">
        <v>4140</v>
      </c>
    </row>
    <row r="1052" spans="1:13" x14ac:dyDescent="0.25">
      <c r="B1052" s="7" t="s">
        <v>3316</v>
      </c>
      <c r="C1052" s="7" t="s">
        <v>3743</v>
      </c>
      <c r="D1052" s="7" t="s">
        <v>156</v>
      </c>
      <c r="E1052" s="7" t="s">
        <v>3785</v>
      </c>
      <c r="F1052" s="7" t="s">
        <v>3747</v>
      </c>
      <c r="G1052" s="7"/>
      <c r="H1052" s="7"/>
      <c r="I1052" s="7"/>
      <c r="J1052" s="58">
        <v>15019</v>
      </c>
      <c r="K1052" s="123">
        <f t="shared" si="70"/>
        <v>16671.09</v>
      </c>
      <c r="L1052" s="120">
        <f t="shared" si="69"/>
        <v>9935.9696399999993</v>
      </c>
      <c r="M1052" t="s">
        <v>4140</v>
      </c>
    </row>
    <row r="1053" spans="1:13" x14ac:dyDescent="0.25">
      <c r="B1053" s="7" t="s">
        <v>3317</v>
      </c>
      <c r="C1053" s="7" t="s">
        <v>3743</v>
      </c>
      <c r="D1053" s="7" t="s">
        <v>148</v>
      </c>
      <c r="E1053" s="7" t="s">
        <v>3786</v>
      </c>
      <c r="F1053" s="7" t="s">
        <v>3747</v>
      </c>
      <c r="G1053" s="7"/>
      <c r="H1053" s="7"/>
      <c r="I1053" s="7"/>
      <c r="J1053" s="58">
        <v>15019</v>
      </c>
      <c r="K1053" s="123">
        <f t="shared" si="70"/>
        <v>16671.09</v>
      </c>
      <c r="L1053" s="120">
        <f t="shared" ref="L1053:L1116" si="71">K1053*0.596</f>
        <v>9935.9696399999993</v>
      </c>
      <c r="M1053" t="s">
        <v>4140</v>
      </c>
    </row>
    <row r="1054" spans="1:13" x14ac:dyDescent="0.25">
      <c r="B1054" s="7" t="s">
        <v>3318</v>
      </c>
      <c r="C1054" s="7" t="s">
        <v>3743</v>
      </c>
      <c r="D1054" s="7" t="s">
        <v>149</v>
      </c>
      <c r="E1054" s="7" t="s">
        <v>3787</v>
      </c>
      <c r="F1054" s="7" t="s">
        <v>3747</v>
      </c>
      <c r="G1054" s="7"/>
      <c r="H1054" s="7"/>
      <c r="I1054" s="7"/>
      <c r="J1054" s="58">
        <v>15019</v>
      </c>
      <c r="K1054" s="123">
        <f t="shared" si="70"/>
        <v>16671.09</v>
      </c>
      <c r="L1054" s="120">
        <f t="shared" si="71"/>
        <v>9935.9696399999993</v>
      </c>
      <c r="M1054" t="s">
        <v>4140</v>
      </c>
    </row>
    <row r="1055" spans="1:13" x14ac:dyDescent="0.25">
      <c r="A1055" s="63" t="s">
        <v>3996</v>
      </c>
      <c r="B1055" s="121" t="s">
        <v>3995</v>
      </c>
      <c r="C1055" s="68"/>
      <c r="D1055" s="63"/>
      <c r="E1055" s="64"/>
      <c r="F1055" s="63"/>
      <c r="G1055" s="65"/>
      <c r="H1055" s="70"/>
      <c r="I1055" s="70"/>
      <c r="J1055" s="122"/>
      <c r="K1055" s="70"/>
      <c r="L1055" s="126"/>
    </row>
    <row r="1056" spans="1:13" x14ac:dyDescent="0.25">
      <c r="B1056" s="7" t="s">
        <v>3319</v>
      </c>
      <c r="C1056" s="7" t="s">
        <v>3745</v>
      </c>
      <c r="D1056" s="7" t="s">
        <v>124</v>
      </c>
      <c r="E1056" s="7" t="s">
        <v>3788</v>
      </c>
      <c r="F1056" s="7" t="s">
        <v>3744</v>
      </c>
      <c r="G1056" s="7"/>
      <c r="H1056" s="7"/>
      <c r="I1056" s="7"/>
      <c r="J1056" s="58">
        <v>6359</v>
      </c>
      <c r="K1056" s="58">
        <v>6359</v>
      </c>
      <c r="L1056" s="120">
        <f t="shared" si="71"/>
        <v>3789.9639999999999</v>
      </c>
      <c r="M1056" t="s">
        <v>4139</v>
      </c>
    </row>
    <row r="1057" spans="2:13" x14ac:dyDescent="0.25">
      <c r="B1057" s="7" t="s">
        <v>3320</v>
      </c>
      <c r="C1057" s="7" t="s">
        <v>3745</v>
      </c>
      <c r="D1057" s="7" t="s">
        <v>125</v>
      </c>
      <c r="E1057" s="7" t="s">
        <v>3789</v>
      </c>
      <c r="F1057" s="7" t="s">
        <v>3744</v>
      </c>
      <c r="G1057" s="7"/>
      <c r="H1057" s="7"/>
      <c r="I1057" s="7"/>
      <c r="J1057" s="58">
        <v>6359</v>
      </c>
      <c r="K1057" s="58">
        <v>6359</v>
      </c>
      <c r="L1057" s="120">
        <f t="shared" si="71"/>
        <v>3789.9639999999999</v>
      </c>
      <c r="M1057" t="s">
        <v>4139</v>
      </c>
    </row>
    <row r="1058" spans="2:13" x14ac:dyDescent="0.25">
      <c r="B1058" s="7" t="s">
        <v>3321</v>
      </c>
      <c r="C1058" s="7" t="s">
        <v>3745</v>
      </c>
      <c r="D1058" s="7" t="s">
        <v>126</v>
      </c>
      <c r="E1058" s="7" t="s">
        <v>3790</v>
      </c>
      <c r="F1058" s="7" t="s">
        <v>3744</v>
      </c>
      <c r="G1058" s="7"/>
      <c r="H1058" s="7"/>
      <c r="I1058" s="7"/>
      <c r="J1058" s="58">
        <v>6359</v>
      </c>
      <c r="K1058" s="58">
        <v>6359</v>
      </c>
      <c r="L1058" s="120">
        <f t="shared" si="71"/>
        <v>3789.9639999999999</v>
      </c>
      <c r="M1058" t="s">
        <v>4139</v>
      </c>
    </row>
    <row r="1059" spans="2:13" x14ac:dyDescent="0.25">
      <c r="B1059" s="7" t="s">
        <v>3322</v>
      </c>
      <c r="C1059" s="7" t="s">
        <v>3745</v>
      </c>
      <c r="D1059" s="7" t="s">
        <v>127</v>
      </c>
      <c r="E1059" s="7" t="s">
        <v>3791</v>
      </c>
      <c r="F1059" s="7" t="s">
        <v>3744</v>
      </c>
      <c r="G1059" s="7"/>
      <c r="H1059" s="7"/>
      <c r="I1059" s="7"/>
      <c r="J1059" s="58">
        <v>6359</v>
      </c>
      <c r="K1059" s="58">
        <v>6359</v>
      </c>
      <c r="L1059" s="120">
        <f t="shared" si="71"/>
        <v>3789.9639999999999</v>
      </c>
      <c r="M1059" t="s">
        <v>4139</v>
      </c>
    </row>
    <row r="1060" spans="2:13" x14ac:dyDescent="0.25">
      <c r="B1060" s="7" t="s">
        <v>3323</v>
      </c>
      <c r="C1060" s="7" t="s">
        <v>3745</v>
      </c>
      <c r="D1060" s="7" t="s">
        <v>128</v>
      </c>
      <c r="E1060" s="7" t="s">
        <v>3792</v>
      </c>
      <c r="F1060" s="7" t="s">
        <v>3744</v>
      </c>
      <c r="G1060" s="7"/>
      <c r="H1060" s="7"/>
      <c r="I1060" s="7"/>
      <c r="J1060" s="58">
        <v>6359</v>
      </c>
      <c r="K1060" s="58">
        <v>6359</v>
      </c>
      <c r="L1060" s="120">
        <f t="shared" si="71"/>
        <v>3789.9639999999999</v>
      </c>
      <c r="M1060" t="s">
        <v>4139</v>
      </c>
    </row>
    <row r="1061" spans="2:13" x14ac:dyDescent="0.25">
      <c r="B1061" s="7" t="s">
        <v>3324</v>
      </c>
      <c r="C1061" s="7" t="s">
        <v>3745</v>
      </c>
      <c r="D1061" s="7" t="s">
        <v>129</v>
      </c>
      <c r="E1061" s="7" t="s">
        <v>3793</v>
      </c>
      <c r="F1061" s="7" t="s">
        <v>3744</v>
      </c>
      <c r="G1061" s="7"/>
      <c r="H1061" s="7"/>
      <c r="I1061" s="7"/>
      <c r="J1061" s="58">
        <v>14178</v>
      </c>
      <c r="K1061" s="58">
        <v>14178</v>
      </c>
      <c r="L1061" s="120">
        <f t="shared" si="71"/>
        <v>8450.0879999999997</v>
      </c>
      <c r="M1061" t="s">
        <v>4139</v>
      </c>
    </row>
    <row r="1062" spans="2:13" x14ac:dyDescent="0.25">
      <c r="B1062" s="7" t="s">
        <v>3325</v>
      </c>
      <c r="C1062" s="7" t="s">
        <v>3745</v>
      </c>
      <c r="D1062" s="7" t="s">
        <v>130</v>
      </c>
      <c r="E1062" s="7" t="s">
        <v>3794</v>
      </c>
      <c r="F1062" s="7" t="s">
        <v>3744</v>
      </c>
      <c r="G1062" s="7"/>
      <c r="H1062" s="7"/>
      <c r="I1062" s="7"/>
      <c r="J1062" s="58">
        <v>14178</v>
      </c>
      <c r="K1062" s="58">
        <v>14178</v>
      </c>
      <c r="L1062" s="120">
        <f t="shared" si="71"/>
        <v>8450.0879999999997</v>
      </c>
      <c r="M1062" t="s">
        <v>4139</v>
      </c>
    </row>
    <row r="1063" spans="2:13" x14ac:dyDescent="0.25">
      <c r="B1063" s="7" t="s">
        <v>3326</v>
      </c>
      <c r="C1063" s="7" t="s">
        <v>3745</v>
      </c>
      <c r="D1063" s="7" t="s">
        <v>142</v>
      </c>
      <c r="E1063" s="7" t="s">
        <v>3795</v>
      </c>
      <c r="F1063" s="7" t="s">
        <v>3744</v>
      </c>
      <c r="G1063" s="7"/>
      <c r="H1063" s="7"/>
      <c r="I1063" s="7"/>
      <c r="J1063" s="58">
        <v>14178</v>
      </c>
      <c r="K1063" s="58">
        <v>14178</v>
      </c>
      <c r="L1063" s="120">
        <f t="shared" si="71"/>
        <v>8450.0879999999997</v>
      </c>
      <c r="M1063" t="s">
        <v>4139</v>
      </c>
    </row>
    <row r="1064" spans="2:13" x14ac:dyDescent="0.25">
      <c r="B1064" s="7" t="s">
        <v>3327</v>
      </c>
      <c r="C1064" s="7" t="s">
        <v>3745</v>
      </c>
      <c r="D1064" s="7" t="s">
        <v>143</v>
      </c>
      <c r="E1064" s="7" t="s">
        <v>3796</v>
      </c>
      <c r="F1064" s="7" t="s">
        <v>3744</v>
      </c>
      <c r="G1064" s="7"/>
      <c r="H1064" s="7"/>
      <c r="I1064" s="7"/>
      <c r="J1064" s="58">
        <v>14178</v>
      </c>
      <c r="K1064" s="58">
        <v>14178</v>
      </c>
      <c r="L1064" s="120">
        <f t="shared" si="71"/>
        <v>8450.0879999999997</v>
      </c>
      <c r="M1064" t="s">
        <v>4139</v>
      </c>
    </row>
    <row r="1065" spans="2:13" x14ac:dyDescent="0.25">
      <c r="B1065" s="7" t="s">
        <v>3328</v>
      </c>
      <c r="C1065" s="7" t="s">
        <v>3745</v>
      </c>
      <c r="D1065" s="7" t="s">
        <v>144</v>
      </c>
      <c r="E1065" s="7" t="s">
        <v>3797</v>
      </c>
      <c r="F1065" s="7" t="s">
        <v>3744</v>
      </c>
      <c r="G1065" s="7"/>
      <c r="H1065" s="7"/>
      <c r="I1065" s="7"/>
      <c r="J1065" s="58">
        <v>14178</v>
      </c>
      <c r="K1065" s="58">
        <v>14178</v>
      </c>
      <c r="L1065" s="120">
        <f t="shared" si="71"/>
        <v>8450.0879999999997</v>
      </c>
      <c r="M1065" t="s">
        <v>4139</v>
      </c>
    </row>
    <row r="1066" spans="2:13" x14ac:dyDescent="0.25">
      <c r="B1066" s="7" t="s">
        <v>3329</v>
      </c>
      <c r="C1066" s="7" t="s">
        <v>3745</v>
      </c>
      <c r="D1066" s="7" t="s">
        <v>145</v>
      </c>
      <c r="E1066" s="7" t="s">
        <v>3798</v>
      </c>
      <c r="F1066" s="7" t="s">
        <v>3744</v>
      </c>
      <c r="G1066" s="7"/>
      <c r="H1066" s="7"/>
      <c r="I1066" s="7"/>
      <c r="J1066" s="58">
        <v>14178</v>
      </c>
      <c r="K1066" s="58">
        <v>14178</v>
      </c>
      <c r="L1066" s="120">
        <f t="shared" si="71"/>
        <v>8450.0879999999997</v>
      </c>
      <c r="M1066" t="s">
        <v>4139</v>
      </c>
    </row>
    <row r="1067" spans="2:13" x14ac:dyDescent="0.25">
      <c r="B1067" s="7" t="s">
        <v>3330</v>
      </c>
      <c r="C1067" s="7" t="s">
        <v>3745</v>
      </c>
      <c r="D1067" s="7" t="s">
        <v>131</v>
      </c>
      <c r="E1067" s="7" t="s">
        <v>3799</v>
      </c>
      <c r="F1067" s="7" t="s">
        <v>3744</v>
      </c>
      <c r="G1067" s="7"/>
      <c r="H1067" s="7"/>
      <c r="I1067" s="7"/>
      <c r="J1067" s="58">
        <v>6359</v>
      </c>
      <c r="K1067" s="58">
        <v>6359</v>
      </c>
      <c r="L1067" s="120">
        <f t="shared" si="71"/>
        <v>3789.9639999999999</v>
      </c>
      <c r="M1067" t="s">
        <v>4139</v>
      </c>
    </row>
    <row r="1068" spans="2:13" x14ac:dyDescent="0.25">
      <c r="B1068" s="7" t="s">
        <v>3331</v>
      </c>
      <c r="C1068" s="7" t="s">
        <v>3745</v>
      </c>
      <c r="D1068" s="7" t="s">
        <v>132</v>
      </c>
      <c r="E1068" s="7" t="s">
        <v>3800</v>
      </c>
      <c r="F1068" s="7" t="s">
        <v>3744</v>
      </c>
      <c r="G1068" s="7"/>
      <c r="H1068" s="7"/>
      <c r="I1068" s="7"/>
      <c r="J1068" s="58">
        <v>6359</v>
      </c>
      <c r="K1068" s="58">
        <v>6359</v>
      </c>
      <c r="L1068" s="120">
        <f t="shared" si="71"/>
        <v>3789.9639999999999</v>
      </c>
      <c r="M1068" t="s">
        <v>4139</v>
      </c>
    </row>
    <row r="1069" spans="2:13" x14ac:dyDescent="0.25">
      <c r="B1069" s="7" t="s">
        <v>3332</v>
      </c>
      <c r="C1069" s="7" t="s">
        <v>3745</v>
      </c>
      <c r="D1069" s="7" t="s">
        <v>133</v>
      </c>
      <c r="E1069" s="7" t="s">
        <v>3801</v>
      </c>
      <c r="F1069" s="7" t="s">
        <v>3744</v>
      </c>
      <c r="G1069" s="7"/>
      <c r="H1069" s="7"/>
      <c r="I1069" s="7"/>
      <c r="J1069" s="58">
        <v>6359</v>
      </c>
      <c r="K1069" s="58">
        <v>6359</v>
      </c>
      <c r="L1069" s="120">
        <f t="shared" si="71"/>
        <v>3789.9639999999999</v>
      </c>
      <c r="M1069" t="s">
        <v>4139</v>
      </c>
    </row>
    <row r="1070" spans="2:13" x14ac:dyDescent="0.25">
      <c r="B1070" s="7" t="s">
        <v>3333</v>
      </c>
      <c r="C1070" s="7" t="s">
        <v>3745</v>
      </c>
      <c r="D1070" s="7" t="s">
        <v>134</v>
      </c>
      <c r="E1070" s="7" t="s">
        <v>3802</v>
      </c>
      <c r="F1070" s="7" t="s">
        <v>3744</v>
      </c>
      <c r="G1070" s="7"/>
      <c r="H1070" s="7"/>
      <c r="I1070" s="7"/>
      <c r="J1070" s="58">
        <v>6359</v>
      </c>
      <c r="K1070" s="58">
        <v>6359</v>
      </c>
      <c r="L1070" s="120">
        <f t="shared" si="71"/>
        <v>3789.9639999999999</v>
      </c>
      <c r="M1070" t="s">
        <v>4139</v>
      </c>
    </row>
    <row r="1071" spans="2:13" x14ac:dyDescent="0.25">
      <c r="B1071" s="7" t="s">
        <v>3334</v>
      </c>
      <c r="C1071" s="7" t="s">
        <v>3745</v>
      </c>
      <c r="D1071" s="7" t="s">
        <v>135</v>
      </c>
      <c r="E1071" s="7" t="s">
        <v>3803</v>
      </c>
      <c r="F1071" s="7" t="s">
        <v>3744</v>
      </c>
      <c r="G1071" s="7"/>
      <c r="H1071" s="7"/>
      <c r="I1071" s="7"/>
      <c r="J1071" s="58">
        <v>6359</v>
      </c>
      <c r="K1071" s="58">
        <v>6359</v>
      </c>
      <c r="L1071" s="120">
        <f t="shared" si="71"/>
        <v>3789.9639999999999</v>
      </c>
      <c r="M1071" t="s">
        <v>4139</v>
      </c>
    </row>
    <row r="1072" spans="2:13" x14ac:dyDescent="0.25">
      <c r="B1072" s="7" t="s">
        <v>3335</v>
      </c>
      <c r="C1072" s="7" t="s">
        <v>3745</v>
      </c>
      <c r="D1072" s="7" t="s">
        <v>136</v>
      </c>
      <c r="E1072" s="7" t="s">
        <v>3804</v>
      </c>
      <c r="F1072" s="7" t="s">
        <v>3744</v>
      </c>
      <c r="G1072" s="7"/>
      <c r="H1072" s="7"/>
      <c r="I1072" s="7"/>
      <c r="J1072" s="58">
        <v>14178</v>
      </c>
      <c r="K1072" s="58">
        <v>14178</v>
      </c>
      <c r="L1072" s="120">
        <f t="shared" si="71"/>
        <v>8450.0879999999997</v>
      </c>
      <c r="M1072" t="s">
        <v>4139</v>
      </c>
    </row>
    <row r="1073" spans="1:13" x14ac:dyDescent="0.25">
      <c r="B1073" s="7" t="s">
        <v>3336</v>
      </c>
      <c r="C1073" s="7" t="s">
        <v>3745</v>
      </c>
      <c r="D1073" s="7" t="s">
        <v>137</v>
      </c>
      <c r="E1073" s="7" t="s">
        <v>3805</v>
      </c>
      <c r="F1073" s="7" t="s">
        <v>3744</v>
      </c>
      <c r="G1073" s="7"/>
      <c r="H1073" s="7"/>
      <c r="I1073" s="7"/>
      <c r="J1073" s="58">
        <v>14178</v>
      </c>
      <c r="K1073" s="58">
        <v>14178</v>
      </c>
      <c r="L1073" s="120">
        <f t="shared" si="71"/>
        <v>8450.0879999999997</v>
      </c>
      <c r="M1073" t="s">
        <v>4139</v>
      </c>
    </row>
    <row r="1074" spans="1:13" x14ac:dyDescent="0.25">
      <c r="B1074" s="7" t="s">
        <v>3337</v>
      </c>
      <c r="C1074" s="7" t="s">
        <v>3745</v>
      </c>
      <c r="D1074" s="7" t="s">
        <v>146</v>
      </c>
      <c r="E1074" s="7" t="s">
        <v>3806</v>
      </c>
      <c r="F1074" s="7" t="s">
        <v>3744</v>
      </c>
      <c r="G1074" s="7"/>
      <c r="H1074" s="7"/>
      <c r="I1074" s="7"/>
      <c r="J1074" s="58">
        <v>14178</v>
      </c>
      <c r="K1074" s="58">
        <v>14178</v>
      </c>
      <c r="L1074" s="120">
        <f t="shared" si="71"/>
        <v>8450.0879999999997</v>
      </c>
      <c r="M1074" t="s">
        <v>4139</v>
      </c>
    </row>
    <row r="1075" spans="1:13" x14ac:dyDescent="0.25">
      <c r="B1075" s="7" t="s">
        <v>3338</v>
      </c>
      <c r="C1075" s="7" t="s">
        <v>3745</v>
      </c>
      <c r="D1075" s="7" t="s">
        <v>156</v>
      </c>
      <c r="E1075" s="7" t="s">
        <v>3807</v>
      </c>
      <c r="F1075" s="7" t="s">
        <v>3744</v>
      </c>
      <c r="G1075" s="7"/>
      <c r="H1075" s="7"/>
      <c r="I1075" s="7"/>
      <c r="J1075" s="58">
        <v>14178</v>
      </c>
      <c r="K1075" s="58">
        <v>14178</v>
      </c>
      <c r="L1075" s="120">
        <f t="shared" si="71"/>
        <v>8450.0879999999997</v>
      </c>
      <c r="M1075" t="s">
        <v>4139</v>
      </c>
    </row>
    <row r="1076" spans="1:13" x14ac:dyDescent="0.25">
      <c r="B1076" s="7" t="s">
        <v>3339</v>
      </c>
      <c r="C1076" s="7" t="s">
        <v>3745</v>
      </c>
      <c r="D1076" s="7" t="s">
        <v>148</v>
      </c>
      <c r="E1076" s="7" t="s">
        <v>3808</v>
      </c>
      <c r="F1076" s="7" t="s">
        <v>3744</v>
      </c>
      <c r="G1076" s="7"/>
      <c r="H1076" s="7"/>
      <c r="I1076" s="7"/>
      <c r="J1076" s="58">
        <v>14178</v>
      </c>
      <c r="K1076" s="58">
        <v>14178</v>
      </c>
      <c r="L1076" s="120">
        <f t="shared" si="71"/>
        <v>8450.0879999999997</v>
      </c>
      <c r="M1076" t="s">
        <v>4139</v>
      </c>
    </row>
    <row r="1077" spans="1:13" x14ac:dyDescent="0.25">
      <c r="B1077" s="7" t="s">
        <v>3340</v>
      </c>
      <c r="C1077" s="7" t="s">
        <v>3745</v>
      </c>
      <c r="D1077" s="7" t="s">
        <v>149</v>
      </c>
      <c r="E1077" s="7" t="s">
        <v>3809</v>
      </c>
      <c r="F1077" s="7" t="s">
        <v>3744</v>
      </c>
      <c r="G1077" s="7"/>
      <c r="H1077" s="7"/>
      <c r="I1077" s="7"/>
      <c r="J1077" s="58">
        <v>14178</v>
      </c>
      <c r="K1077" s="58">
        <v>14178</v>
      </c>
      <c r="L1077" s="120">
        <f t="shared" si="71"/>
        <v>8450.0879999999997</v>
      </c>
      <c r="M1077" t="s">
        <v>4139</v>
      </c>
    </row>
    <row r="1078" spans="1:13" x14ac:dyDescent="0.25">
      <c r="A1078" s="63" t="s">
        <v>3996</v>
      </c>
      <c r="B1078" s="121" t="s">
        <v>3994</v>
      </c>
      <c r="C1078" s="68"/>
      <c r="D1078" s="63"/>
      <c r="E1078" s="64"/>
      <c r="F1078" s="63"/>
      <c r="G1078" s="65"/>
      <c r="H1078" s="70"/>
      <c r="I1078" s="70"/>
      <c r="J1078" s="122"/>
      <c r="K1078" s="70"/>
      <c r="L1078" s="126"/>
    </row>
    <row r="1079" spans="1:13" x14ac:dyDescent="0.25">
      <c r="B1079" s="7" t="s">
        <v>3341</v>
      </c>
      <c r="C1079" s="7" t="s">
        <v>3746</v>
      </c>
      <c r="D1079" s="7" t="s">
        <v>124</v>
      </c>
      <c r="E1079" s="7" t="s">
        <v>3788</v>
      </c>
      <c r="F1079" s="7" t="s">
        <v>3747</v>
      </c>
      <c r="G1079" s="7"/>
      <c r="H1079" s="7"/>
      <c r="I1079" s="7"/>
      <c r="J1079" s="58">
        <v>7911</v>
      </c>
      <c r="K1079" s="123">
        <f>J1079*1.11</f>
        <v>8781.2100000000009</v>
      </c>
      <c r="L1079" s="120">
        <f t="shared" si="71"/>
        <v>5233.6011600000002</v>
      </c>
      <c r="M1079" t="s">
        <v>4140</v>
      </c>
    </row>
    <row r="1080" spans="1:13" x14ac:dyDescent="0.25">
      <c r="B1080" s="7" t="s">
        <v>3342</v>
      </c>
      <c r="C1080" s="7" t="s">
        <v>3746</v>
      </c>
      <c r="D1080" s="7" t="s">
        <v>125</v>
      </c>
      <c r="E1080" s="7" t="s">
        <v>3789</v>
      </c>
      <c r="F1080" s="7" t="s">
        <v>3747</v>
      </c>
      <c r="G1080" s="7"/>
      <c r="H1080" s="7"/>
      <c r="I1080" s="7"/>
      <c r="J1080" s="58">
        <v>7911</v>
      </c>
      <c r="K1080" s="123">
        <f t="shared" ref="K1080:K1100" si="72">J1080*1.11</f>
        <v>8781.2100000000009</v>
      </c>
      <c r="L1080" s="120">
        <f t="shared" si="71"/>
        <v>5233.6011600000002</v>
      </c>
      <c r="M1080" t="s">
        <v>4140</v>
      </c>
    </row>
    <row r="1081" spans="1:13" x14ac:dyDescent="0.25">
      <c r="B1081" s="7" t="s">
        <v>3343</v>
      </c>
      <c r="C1081" s="7" t="s">
        <v>3746</v>
      </c>
      <c r="D1081" s="7" t="s">
        <v>126</v>
      </c>
      <c r="E1081" s="7" t="s">
        <v>3790</v>
      </c>
      <c r="F1081" s="7" t="s">
        <v>3747</v>
      </c>
      <c r="G1081" s="7"/>
      <c r="H1081" s="7"/>
      <c r="I1081" s="7"/>
      <c r="J1081" s="58">
        <v>7911</v>
      </c>
      <c r="K1081" s="123">
        <f t="shared" si="72"/>
        <v>8781.2100000000009</v>
      </c>
      <c r="L1081" s="120">
        <f t="shared" si="71"/>
        <v>5233.6011600000002</v>
      </c>
      <c r="M1081" t="s">
        <v>4140</v>
      </c>
    </row>
    <row r="1082" spans="1:13" x14ac:dyDescent="0.25">
      <c r="B1082" s="7" t="s">
        <v>3344</v>
      </c>
      <c r="C1082" s="7" t="s">
        <v>3746</v>
      </c>
      <c r="D1082" s="7" t="s">
        <v>127</v>
      </c>
      <c r="E1082" s="7" t="s">
        <v>3791</v>
      </c>
      <c r="F1082" s="7" t="s">
        <v>3747</v>
      </c>
      <c r="G1082" s="7"/>
      <c r="H1082" s="7"/>
      <c r="I1082" s="7"/>
      <c r="J1082" s="58">
        <v>7911</v>
      </c>
      <c r="K1082" s="123">
        <f t="shared" si="72"/>
        <v>8781.2100000000009</v>
      </c>
      <c r="L1082" s="120">
        <f t="shared" si="71"/>
        <v>5233.6011600000002</v>
      </c>
      <c r="M1082" t="s">
        <v>4140</v>
      </c>
    </row>
    <row r="1083" spans="1:13" x14ac:dyDescent="0.25">
      <c r="B1083" s="7" t="s">
        <v>3345</v>
      </c>
      <c r="C1083" s="7" t="s">
        <v>3746</v>
      </c>
      <c r="D1083" s="7" t="s">
        <v>128</v>
      </c>
      <c r="E1083" s="7" t="s">
        <v>3792</v>
      </c>
      <c r="F1083" s="7" t="s">
        <v>3747</v>
      </c>
      <c r="G1083" s="7"/>
      <c r="H1083" s="7"/>
      <c r="I1083" s="7"/>
      <c r="J1083" s="58">
        <v>7911</v>
      </c>
      <c r="K1083" s="123">
        <f t="shared" si="72"/>
        <v>8781.2100000000009</v>
      </c>
      <c r="L1083" s="120">
        <f t="shared" si="71"/>
        <v>5233.6011600000002</v>
      </c>
      <c r="M1083" t="s">
        <v>4140</v>
      </c>
    </row>
    <row r="1084" spans="1:13" x14ac:dyDescent="0.25">
      <c r="B1084" s="7" t="s">
        <v>3346</v>
      </c>
      <c r="C1084" s="7" t="s">
        <v>3746</v>
      </c>
      <c r="D1084" s="7" t="s">
        <v>129</v>
      </c>
      <c r="E1084" s="7" t="s">
        <v>3793</v>
      </c>
      <c r="F1084" s="7" t="s">
        <v>3747</v>
      </c>
      <c r="G1084" s="7"/>
      <c r="H1084" s="7"/>
      <c r="I1084" s="7"/>
      <c r="J1084" s="58">
        <v>15717</v>
      </c>
      <c r="K1084" s="123">
        <f t="shared" si="72"/>
        <v>17445.870000000003</v>
      </c>
      <c r="L1084" s="120">
        <f t="shared" si="71"/>
        <v>10397.738520000001</v>
      </c>
      <c r="M1084" t="s">
        <v>4140</v>
      </c>
    </row>
    <row r="1085" spans="1:13" x14ac:dyDescent="0.25">
      <c r="B1085" s="7" t="s">
        <v>3347</v>
      </c>
      <c r="C1085" s="7" t="s">
        <v>3746</v>
      </c>
      <c r="D1085" s="7" t="s">
        <v>130</v>
      </c>
      <c r="E1085" s="7" t="s">
        <v>3794</v>
      </c>
      <c r="F1085" s="7" t="s">
        <v>3747</v>
      </c>
      <c r="G1085" s="7"/>
      <c r="H1085" s="7"/>
      <c r="I1085" s="7"/>
      <c r="J1085" s="58">
        <v>15717</v>
      </c>
      <c r="K1085" s="123">
        <f t="shared" si="72"/>
        <v>17445.870000000003</v>
      </c>
      <c r="L1085" s="120">
        <f t="shared" si="71"/>
        <v>10397.738520000001</v>
      </c>
      <c r="M1085" t="s">
        <v>4140</v>
      </c>
    </row>
    <row r="1086" spans="1:13" x14ac:dyDescent="0.25">
      <c r="B1086" s="7" t="s">
        <v>3348</v>
      </c>
      <c r="C1086" s="7" t="s">
        <v>3746</v>
      </c>
      <c r="D1086" s="7" t="s">
        <v>142</v>
      </c>
      <c r="E1086" s="7" t="s">
        <v>3795</v>
      </c>
      <c r="F1086" s="7" t="s">
        <v>3747</v>
      </c>
      <c r="G1086" s="7"/>
      <c r="H1086" s="7"/>
      <c r="I1086" s="7"/>
      <c r="J1086" s="58">
        <v>15717</v>
      </c>
      <c r="K1086" s="123">
        <f t="shared" si="72"/>
        <v>17445.870000000003</v>
      </c>
      <c r="L1086" s="120">
        <f t="shared" si="71"/>
        <v>10397.738520000001</v>
      </c>
      <c r="M1086" t="s">
        <v>4140</v>
      </c>
    </row>
    <row r="1087" spans="1:13" x14ac:dyDescent="0.25">
      <c r="B1087" s="7" t="s">
        <v>3349</v>
      </c>
      <c r="C1087" s="7" t="s">
        <v>3746</v>
      </c>
      <c r="D1087" s="7" t="s">
        <v>143</v>
      </c>
      <c r="E1087" s="7" t="s">
        <v>3796</v>
      </c>
      <c r="F1087" s="7" t="s">
        <v>3747</v>
      </c>
      <c r="G1087" s="7"/>
      <c r="H1087" s="7"/>
      <c r="I1087" s="7"/>
      <c r="J1087" s="58">
        <v>15717</v>
      </c>
      <c r="K1087" s="123">
        <f t="shared" si="72"/>
        <v>17445.870000000003</v>
      </c>
      <c r="L1087" s="120">
        <f t="shared" si="71"/>
        <v>10397.738520000001</v>
      </c>
      <c r="M1087" t="s">
        <v>4140</v>
      </c>
    </row>
    <row r="1088" spans="1:13" x14ac:dyDescent="0.25">
      <c r="B1088" s="7" t="s">
        <v>3350</v>
      </c>
      <c r="C1088" s="7" t="s">
        <v>3746</v>
      </c>
      <c r="D1088" s="7" t="s">
        <v>144</v>
      </c>
      <c r="E1088" s="7" t="s">
        <v>3797</v>
      </c>
      <c r="F1088" s="7" t="s">
        <v>3747</v>
      </c>
      <c r="G1088" s="7"/>
      <c r="H1088" s="7"/>
      <c r="I1088" s="7"/>
      <c r="J1088" s="58">
        <v>15717</v>
      </c>
      <c r="K1088" s="123">
        <f t="shared" si="72"/>
        <v>17445.870000000003</v>
      </c>
      <c r="L1088" s="120">
        <f t="shared" si="71"/>
        <v>10397.738520000001</v>
      </c>
      <c r="M1088" t="s">
        <v>4140</v>
      </c>
    </row>
    <row r="1089" spans="1:13" x14ac:dyDescent="0.25">
      <c r="B1089" s="7" t="s">
        <v>3351</v>
      </c>
      <c r="C1089" s="7" t="s">
        <v>3746</v>
      </c>
      <c r="D1089" s="7" t="s">
        <v>145</v>
      </c>
      <c r="E1089" s="7" t="s">
        <v>3798</v>
      </c>
      <c r="F1089" s="7" t="s">
        <v>3747</v>
      </c>
      <c r="G1089" s="7"/>
      <c r="H1089" s="7"/>
      <c r="I1089" s="7"/>
      <c r="J1089" s="58">
        <v>15717</v>
      </c>
      <c r="K1089" s="123">
        <f t="shared" si="72"/>
        <v>17445.870000000003</v>
      </c>
      <c r="L1089" s="120">
        <f t="shared" si="71"/>
        <v>10397.738520000001</v>
      </c>
      <c r="M1089" t="s">
        <v>4140</v>
      </c>
    </row>
    <row r="1090" spans="1:13" x14ac:dyDescent="0.25">
      <c r="B1090" s="7" t="s">
        <v>3352</v>
      </c>
      <c r="C1090" s="7" t="s">
        <v>3746</v>
      </c>
      <c r="D1090" s="7" t="s">
        <v>131</v>
      </c>
      <c r="E1090" s="7" t="s">
        <v>3799</v>
      </c>
      <c r="F1090" s="7" t="s">
        <v>3747</v>
      </c>
      <c r="G1090" s="7"/>
      <c r="H1090" s="7"/>
      <c r="I1090" s="7"/>
      <c r="J1090" s="58">
        <v>7911</v>
      </c>
      <c r="K1090" s="123">
        <f t="shared" si="72"/>
        <v>8781.2100000000009</v>
      </c>
      <c r="L1090" s="120">
        <f t="shared" si="71"/>
        <v>5233.6011600000002</v>
      </c>
      <c r="M1090" t="s">
        <v>4140</v>
      </c>
    </row>
    <row r="1091" spans="1:13" x14ac:dyDescent="0.25">
      <c r="B1091" s="7" t="s">
        <v>3353</v>
      </c>
      <c r="C1091" s="7" t="s">
        <v>3746</v>
      </c>
      <c r="D1091" s="7" t="s">
        <v>132</v>
      </c>
      <c r="E1091" s="7" t="s">
        <v>3800</v>
      </c>
      <c r="F1091" s="7" t="s">
        <v>3747</v>
      </c>
      <c r="G1091" s="7"/>
      <c r="H1091" s="7"/>
      <c r="I1091" s="7"/>
      <c r="J1091" s="58">
        <v>7911</v>
      </c>
      <c r="K1091" s="123">
        <f t="shared" si="72"/>
        <v>8781.2100000000009</v>
      </c>
      <c r="L1091" s="120">
        <f t="shared" si="71"/>
        <v>5233.6011600000002</v>
      </c>
      <c r="M1091" t="s">
        <v>4140</v>
      </c>
    </row>
    <row r="1092" spans="1:13" x14ac:dyDescent="0.25">
      <c r="B1092" s="7" t="s">
        <v>3354</v>
      </c>
      <c r="C1092" s="7" t="s">
        <v>3746</v>
      </c>
      <c r="D1092" s="7" t="s">
        <v>133</v>
      </c>
      <c r="E1092" s="7" t="s">
        <v>3801</v>
      </c>
      <c r="F1092" s="7" t="s">
        <v>3747</v>
      </c>
      <c r="G1092" s="7"/>
      <c r="H1092" s="7"/>
      <c r="I1092" s="7"/>
      <c r="J1092" s="58">
        <v>7911</v>
      </c>
      <c r="K1092" s="123">
        <f t="shared" si="72"/>
        <v>8781.2100000000009</v>
      </c>
      <c r="L1092" s="120">
        <f t="shared" si="71"/>
        <v>5233.6011600000002</v>
      </c>
      <c r="M1092" t="s">
        <v>4140</v>
      </c>
    </row>
    <row r="1093" spans="1:13" x14ac:dyDescent="0.25">
      <c r="B1093" s="7" t="s">
        <v>3355</v>
      </c>
      <c r="C1093" s="7" t="s">
        <v>3746</v>
      </c>
      <c r="D1093" s="7" t="s">
        <v>134</v>
      </c>
      <c r="E1093" s="7" t="s">
        <v>3802</v>
      </c>
      <c r="F1093" s="7" t="s">
        <v>3747</v>
      </c>
      <c r="G1093" s="7"/>
      <c r="H1093" s="7"/>
      <c r="I1093" s="7"/>
      <c r="J1093" s="58">
        <v>7911</v>
      </c>
      <c r="K1093" s="123">
        <f t="shared" si="72"/>
        <v>8781.2100000000009</v>
      </c>
      <c r="L1093" s="120">
        <f t="shared" si="71"/>
        <v>5233.6011600000002</v>
      </c>
      <c r="M1093" t="s">
        <v>4140</v>
      </c>
    </row>
    <row r="1094" spans="1:13" x14ac:dyDescent="0.25">
      <c r="B1094" s="7" t="s">
        <v>3356</v>
      </c>
      <c r="C1094" s="7" t="s">
        <v>3746</v>
      </c>
      <c r="D1094" s="7" t="s">
        <v>135</v>
      </c>
      <c r="E1094" s="7" t="s">
        <v>3803</v>
      </c>
      <c r="F1094" s="7" t="s">
        <v>3747</v>
      </c>
      <c r="G1094" s="7"/>
      <c r="H1094" s="7"/>
      <c r="I1094" s="7"/>
      <c r="J1094" s="58">
        <v>7911</v>
      </c>
      <c r="K1094" s="123">
        <f t="shared" si="72"/>
        <v>8781.2100000000009</v>
      </c>
      <c r="L1094" s="120">
        <f t="shared" si="71"/>
        <v>5233.6011600000002</v>
      </c>
      <c r="M1094" t="s">
        <v>4140</v>
      </c>
    </row>
    <row r="1095" spans="1:13" x14ac:dyDescent="0.25">
      <c r="B1095" s="7" t="s">
        <v>3357</v>
      </c>
      <c r="C1095" s="7" t="s">
        <v>3746</v>
      </c>
      <c r="D1095" s="7" t="s">
        <v>136</v>
      </c>
      <c r="E1095" s="7" t="s">
        <v>3804</v>
      </c>
      <c r="F1095" s="7" t="s">
        <v>3747</v>
      </c>
      <c r="G1095" s="7"/>
      <c r="H1095" s="7"/>
      <c r="I1095" s="7"/>
      <c r="J1095" s="58">
        <v>15717</v>
      </c>
      <c r="K1095" s="123">
        <f t="shared" si="72"/>
        <v>17445.870000000003</v>
      </c>
      <c r="L1095" s="120">
        <f t="shared" si="71"/>
        <v>10397.738520000001</v>
      </c>
      <c r="M1095" t="s">
        <v>4140</v>
      </c>
    </row>
    <row r="1096" spans="1:13" x14ac:dyDescent="0.25">
      <c r="B1096" s="7" t="s">
        <v>3358</v>
      </c>
      <c r="C1096" s="7" t="s">
        <v>3746</v>
      </c>
      <c r="D1096" s="7" t="s">
        <v>137</v>
      </c>
      <c r="E1096" s="7" t="s">
        <v>3805</v>
      </c>
      <c r="F1096" s="7" t="s">
        <v>3747</v>
      </c>
      <c r="G1096" s="7"/>
      <c r="H1096" s="7"/>
      <c r="I1096" s="7"/>
      <c r="J1096" s="58">
        <v>15717</v>
      </c>
      <c r="K1096" s="123">
        <f t="shared" si="72"/>
        <v>17445.870000000003</v>
      </c>
      <c r="L1096" s="120">
        <f t="shared" si="71"/>
        <v>10397.738520000001</v>
      </c>
      <c r="M1096" t="s">
        <v>4140</v>
      </c>
    </row>
    <row r="1097" spans="1:13" x14ac:dyDescent="0.25">
      <c r="B1097" s="7" t="s">
        <v>3359</v>
      </c>
      <c r="C1097" s="7" t="s">
        <v>3746</v>
      </c>
      <c r="D1097" s="7" t="s">
        <v>146</v>
      </c>
      <c r="E1097" s="7" t="s">
        <v>3806</v>
      </c>
      <c r="F1097" s="7" t="s">
        <v>3747</v>
      </c>
      <c r="G1097" s="7"/>
      <c r="H1097" s="7"/>
      <c r="I1097" s="7"/>
      <c r="J1097" s="58">
        <v>15717</v>
      </c>
      <c r="K1097" s="123">
        <f t="shared" si="72"/>
        <v>17445.870000000003</v>
      </c>
      <c r="L1097" s="120">
        <f t="shared" si="71"/>
        <v>10397.738520000001</v>
      </c>
      <c r="M1097" t="s">
        <v>4140</v>
      </c>
    </row>
    <row r="1098" spans="1:13" x14ac:dyDescent="0.25">
      <c r="B1098" s="7" t="s">
        <v>3360</v>
      </c>
      <c r="C1098" s="7" t="s">
        <v>3746</v>
      </c>
      <c r="D1098" s="7" t="s">
        <v>156</v>
      </c>
      <c r="E1098" s="7" t="s">
        <v>3807</v>
      </c>
      <c r="F1098" s="7" t="s">
        <v>3747</v>
      </c>
      <c r="G1098" s="7"/>
      <c r="H1098" s="7"/>
      <c r="I1098" s="7"/>
      <c r="J1098" s="58">
        <v>15717</v>
      </c>
      <c r="K1098" s="123">
        <f t="shared" si="72"/>
        <v>17445.870000000003</v>
      </c>
      <c r="L1098" s="120">
        <f t="shared" si="71"/>
        <v>10397.738520000001</v>
      </c>
      <c r="M1098" t="s">
        <v>4140</v>
      </c>
    </row>
    <row r="1099" spans="1:13" x14ac:dyDescent="0.25">
      <c r="B1099" s="7" t="s">
        <v>3361</v>
      </c>
      <c r="C1099" s="7" t="s">
        <v>3746</v>
      </c>
      <c r="D1099" s="7" t="s">
        <v>148</v>
      </c>
      <c r="E1099" s="7" t="s">
        <v>3808</v>
      </c>
      <c r="F1099" s="7" t="s">
        <v>3747</v>
      </c>
      <c r="G1099" s="7"/>
      <c r="H1099" s="7"/>
      <c r="I1099" s="7"/>
      <c r="J1099" s="58">
        <v>15717</v>
      </c>
      <c r="K1099" s="123">
        <f t="shared" si="72"/>
        <v>17445.870000000003</v>
      </c>
      <c r="L1099" s="120">
        <f t="shared" si="71"/>
        <v>10397.738520000001</v>
      </c>
      <c r="M1099" t="s">
        <v>4140</v>
      </c>
    </row>
    <row r="1100" spans="1:13" x14ac:dyDescent="0.25">
      <c r="B1100" s="7" t="s">
        <v>3362</v>
      </c>
      <c r="C1100" s="7" t="s">
        <v>3746</v>
      </c>
      <c r="D1100" s="7" t="s">
        <v>149</v>
      </c>
      <c r="E1100" s="7" t="s">
        <v>3809</v>
      </c>
      <c r="F1100" s="7" t="s">
        <v>3747</v>
      </c>
      <c r="G1100" s="7"/>
      <c r="H1100" s="7"/>
      <c r="I1100" s="7"/>
      <c r="J1100" s="58">
        <v>15717</v>
      </c>
      <c r="K1100" s="123">
        <f t="shared" si="72"/>
        <v>17445.870000000003</v>
      </c>
      <c r="L1100" s="120">
        <f t="shared" si="71"/>
        <v>10397.738520000001</v>
      </c>
      <c r="M1100" t="s">
        <v>4140</v>
      </c>
    </row>
    <row r="1101" spans="1:13" x14ac:dyDescent="0.25">
      <c r="A1101" s="63" t="s">
        <v>3997</v>
      </c>
      <c r="B1101" s="121" t="s">
        <v>3995</v>
      </c>
      <c r="C1101" s="68"/>
      <c r="D1101" s="63"/>
      <c r="E1101" s="64"/>
      <c r="F1101" s="63"/>
      <c r="G1101" s="65"/>
      <c r="H1101" s="70"/>
      <c r="I1101" s="70"/>
      <c r="J1101" s="122"/>
      <c r="K1101" s="70"/>
      <c r="L1101" s="126"/>
    </row>
    <row r="1102" spans="1:13" x14ac:dyDescent="0.25">
      <c r="B1102" s="7" t="s">
        <v>3363</v>
      </c>
      <c r="C1102" s="7" t="s">
        <v>3748</v>
      </c>
      <c r="D1102" s="7" t="s">
        <v>22</v>
      </c>
      <c r="E1102" s="7" t="s">
        <v>3810</v>
      </c>
      <c r="F1102" s="7" t="s">
        <v>3744</v>
      </c>
      <c r="G1102" s="7"/>
      <c r="H1102" s="7"/>
      <c r="I1102" s="7"/>
      <c r="J1102" s="58">
        <v>6082</v>
      </c>
      <c r="K1102" s="58">
        <v>6082</v>
      </c>
      <c r="L1102" s="120">
        <f t="shared" si="71"/>
        <v>3624.8719999999998</v>
      </c>
      <c r="M1102" t="s">
        <v>4139</v>
      </c>
    </row>
    <row r="1103" spans="1:13" x14ac:dyDescent="0.25">
      <c r="B1103" s="7" t="s">
        <v>3364</v>
      </c>
      <c r="C1103" s="7" t="s">
        <v>3748</v>
      </c>
      <c r="D1103" s="7" t="s">
        <v>23</v>
      </c>
      <c r="E1103" s="7" t="s">
        <v>3811</v>
      </c>
      <c r="F1103" s="7" t="s">
        <v>3744</v>
      </c>
      <c r="G1103" s="7"/>
      <c r="H1103" s="7"/>
      <c r="I1103" s="7"/>
      <c r="J1103" s="58">
        <v>6082</v>
      </c>
      <c r="K1103" s="58">
        <v>6082</v>
      </c>
      <c r="L1103" s="120">
        <f t="shared" si="71"/>
        <v>3624.8719999999998</v>
      </c>
      <c r="M1103" t="s">
        <v>4139</v>
      </c>
    </row>
    <row r="1104" spans="1:13" x14ac:dyDescent="0.25">
      <c r="B1104" s="7" t="s">
        <v>3365</v>
      </c>
      <c r="C1104" s="7" t="s">
        <v>3748</v>
      </c>
      <c r="D1104" s="7" t="s">
        <v>24</v>
      </c>
      <c r="E1104" s="7" t="s">
        <v>3812</v>
      </c>
      <c r="F1104" s="7" t="s">
        <v>3744</v>
      </c>
      <c r="G1104" s="7"/>
      <c r="H1104" s="7"/>
      <c r="I1104" s="7"/>
      <c r="J1104" s="58">
        <v>6082</v>
      </c>
      <c r="K1104" s="58">
        <v>6082</v>
      </c>
      <c r="L1104" s="120">
        <f t="shared" si="71"/>
        <v>3624.8719999999998</v>
      </c>
      <c r="M1104" t="s">
        <v>4139</v>
      </c>
    </row>
    <row r="1105" spans="2:13" x14ac:dyDescent="0.25">
      <c r="B1105" s="7" t="s">
        <v>3366</v>
      </c>
      <c r="C1105" s="7" t="s">
        <v>3748</v>
      </c>
      <c r="D1105" s="7" t="s">
        <v>120</v>
      </c>
      <c r="E1105" s="7" t="s">
        <v>3813</v>
      </c>
      <c r="F1105" s="7" t="s">
        <v>3744</v>
      </c>
      <c r="G1105" s="7"/>
      <c r="H1105" s="7"/>
      <c r="I1105" s="7"/>
      <c r="J1105" s="58">
        <v>6082</v>
      </c>
      <c r="K1105" s="58">
        <v>6082</v>
      </c>
      <c r="L1105" s="120">
        <f t="shared" si="71"/>
        <v>3624.8719999999998</v>
      </c>
      <c r="M1105" t="s">
        <v>4139</v>
      </c>
    </row>
    <row r="1106" spans="2:13" x14ac:dyDescent="0.25">
      <c r="B1106" s="7" t="s">
        <v>3367</v>
      </c>
      <c r="C1106" s="7" t="s">
        <v>3748</v>
      </c>
      <c r="D1106" s="7" t="s">
        <v>121</v>
      </c>
      <c r="E1106" s="7" t="s">
        <v>3814</v>
      </c>
      <c r="F1106" s="7" t="s">
        <v>3744</v>
      </c>
      <c r="G1106" s="7"/>
      <c r="H1106" s="7"/>
      <c r="I1106" s="7"/>
      <c r="J1106" s="58">
        <v>6082</v>
      </c>
      <c r="K1106" s="58">
        <v>6082</v>
      </c>
      <c r="L1106" s="120">
        <f t="shared" si="71"/>
        <v>3624.8719999999998</v>
      </c>
      <c r="M1106" t="s">
        <v>4139</v>
      </c>
    </row>
    <row r="1107" spans="2:13" x14ac:dyDescent="0.25">
      <c r="B1107" s="7" t="s">
        <v>3368</v>
      </c>
      <c r="C1107" s="7" t="s">
        <v>3748</v>
      </c>
      <c r="D1107" s="7" t="s">
        <v>122</v>
      </c>
      <c r="E1107" s="7" t="s">
        <v>3815</v>
      </c>
      <c r="F1107" s="7" t="s">
        <v>3744</v>
      </c>
      <c r="G1107" s="7"/>
      <c r="H1107" s="7"/>
      <c r="I1107" s="7"/>
      <c r="J1107" s="58">
        <v>13905</v>
      </c>
      <c r="K1107" s="58">
        <v>13905</v>
      </c>
      <c r="L1107" s="120">
        <f t="shared" si="71"/>
        <v>8287.3799999999992</v>
      </c>
      <c r="M1107" t="s">
        <v>4139</v>
      </c>
    </row>
    <row r="1108" spans="2:13" x14ac:dyDescent="0.25">
      <c r="B1108" s="7" t="s">
        <v>3369</v>
      </c>
      <c r="C1108" s="7" t="s">
        <v>3748</v>
      </c>
      <c r="D1108" s="7" t="s">
        <v>123</v>
      </c>
      <c r="E1108" s="7" t="s">
        <v>3816</v>
      </c>
      <c r="F1108" s="7" t="s">
        <v>3744</v>
      </c>
      <c r="G1108" s="7"/>
      <c r="H1108" s="7"/>
      <c r="I1108" s="7"/>
      <c r="J1108" s="58">
        <v>13905</v>
      </c>
      <c r="K1108" s="58">
        <v>13905</v>
      </c>
      <c r="L1108" s="120">
        <f t="shared" si="71"/>
        <v>8287.3799999999992</v>
      </c>
      <c r="M1108" t="s">
        <v>4139</v>
      </c>
    </row>
    <row r="1109" spans="2:13" x14ac:dyDescent="0.25">
      <c r="B1109" s="7" t="s">
        <v>3370</v>
      </c>
      <c r="C1109" s="7" t="s">
        <v>3748</v>
      </c>
      <c r="D1109" s="7" t="s">
        <v>138</v>
      </c>
      <c r="E1109" s="7" t="s">
        <v>3817</v>
      </c>
      <c r="F1109" s="7" t="s">
        <v>3744</v>
      </c>
      <c r="G1109" s="7"/>
      <c r="H1109" s="7"/>
      <c r="I1109" s="7"/>
      <c r="J1109" s="58">
        <v>13905</v>
      </c>
      <c r="K1109" s="58">
        <v>13905</v>
      </c>
      <c r="L1109" s="120">
        <f t="shared" si="71"/>
        <v>8287.3799999999992</v>
      </c>
      <c r="M1109" t="s">
        <v>4139</v>
      </c>
    </row>
    <row r="1110" spans="2:13" x14ac:dyDescent="0.25">
      <c r="B1110" s="7" t="s">
        <v>3371</v>
      </c>
      <c r="C1110" s="7" t="s">
        <v>3748</v>
      </c>
      <c r="D1110" s="7" t="s">
        <v>139</v>
      </c>
      <c r="E1110" s="7" t="s">
        <v>3818</v>
      </c>
      <c r="F1110" s="7" t="s">
        <v>3744</v>
      </c>
      <c r="G1110" s="7"/>
      <c r="H1110" s="7"/>
      <c r="I1110" s="7"/>
      <c r="J1110" s="58">
        <v>13905</v>
      </c>
      <c r="K1110" s="58">
        <v>13905</v>
      </c>
      <c r="L1110" s="120">
        <f t="shared" si="71"/>
        <v>8287.3799999999992</v>
      </c>
      <c r="M1110" t="s">
        <v>4139</v>
      </c>
    </row>
    <row r="1111" spans="2:13" x14ac:dyDescent="0.25">
      <c r="B1111" s="7" t="s">
        <v>3372</v>
      </c>
      <c r="C1111" s="7" t="s">
        <v>3748</v>
      </c>
      <c r="D1111" s="7" t="s">
        <v>140</v>
      </c>
      <c r="E1111" s="7" t="s">
        <v>3819</v>
      </c>
      <c r="F1111" s="7" t="s">
        <v>3744</v>
      </c>
      <c r="G1111" s="7"/>
      <c r="H1111" s="7"/>
      <c r="I1111" s="7"/>
      <c r="J1111" s="58">
        <v>13905</v>
      </c>
      <c r="K1111" s="58">
        <v>13905</v>
      </c>
      <c r="L1111" s="120">
        <f t="shared" si="71"/>
        <v>8287.3799999999992</v>
      </c>
      <c r="M1111" t="s">
        <v>4139</v>
      </c>
    </row>
    <row r="1112" spans="2:13" x14ac:dyDescent="0.25">
      <c r="B1112" s="7" t="s">
        <v>3373</v>
      </c>
      <c r="C1112" s="7" t="s">
        <v>3748</v>
      </c>
      <c r="D1112" s="7" t="s">
        <v>141</v>
      </c>
      <c r="E1112" s="7" t="s">
        <v>3820</v>
      </c>
      <c r="F1112" s="7" t="s">
        <v>3744</v>
      </c>
      <c r="G1112" s="7"/>
      <c r="H1112" s="7"/>
      <c r="I1112" s="7"/>
      <c r="J1112" s="58">
        <v>13905</v>
      </c>
      <c r="K1112" s="58">
        <v>13905</v>
      </c>
      <c r="L1112" s="120">
        <f t="shared" si="71"/>
        <v>8287.3799999999992</v>
      </c>
      <c r="M1112" t="s">
        <v>4139</v>
      </c>
    </row>
    <row r="1113" spans="2:13" x14ac:dyDescent="0.25">
      <c r="B1113" s="7" t="s">
        <v>3374</v>
      </c>
      <c r="C1113" s="7" t="s">
        <v>3748</v>
      </c>
      <c r="D1113" s="7" t="s">
        <v>124</v>
      </c>
      <c r="E1113" s="7" t="s">
        <v>3821</v>
      </c>
      <c r="F1113" s="7" t="s">
        <v>3744</v>
      </c>
      <c r="G1113" s="7"/>
      <c r="H1113" s="7"/>
      <c r="I1113" s="7"/>
      <c r="J1113" s="58">
        <v>6082</v>
      </c>
      <c r="K1113" s="58">
        <v>6082</v>
      </c>
      <c r="L1113" s="120">
        <f t="shared" si="71"/>
        <v>3624.8719999999998</v>
      </c>
      <c r="M1113" t="s">
        <v>4139</v>
      </c>
    </row>
    <row r="1114" spans="2:13" x14ac:dyDescent="0.25">
      <c r="B1114" s="7" t="s">
        <v>3375</v>
      </c>
      <c r="C1114" s="7" t="s">
        <v>3748</v>
      </c>
      <c r="D1114" s="7" t="s">
        <v>125</v>
      </c>
      <c r="E1114" s="7" t="s">
        <v>3822</v>
      </c>
      <c r="F1114" s="7" t="s">
        <v>3744</v>
      </c>
      <c r="G1114" s="7"/>
      <c r="H1114" s="7"/>
      <c r="I1114" s="7"/>
      <c r="J1114" s="58">
        <v>6082</v>
      </c>
      <c r="K1114" s="58">
        <v>6082</v>
      </c>
      <c r="L1114" s="120">
        <f t="shared" si="71"/>
        <v>3624.8719999999998</v>
      </c>
      <c r="M1114" t="s">
        <v>4139</v>
      </c>
    </row>
    <row r="1115" spans="2:13" x14ac:dyDescent="0.25">
      <c r="B1115" s="7" t="s">
        <v>3376</v>
      </c>
      <c r="C1115" s="7" t="s">
        <v>3748</v>
      </c>
      <c r="D1115" s="7" t="s">
        <v>126</v>
      </c>
      <c r="E1115" s="7" t="s">
        <v>3823</v>
      </c>
      <c r="F1115" s="7" t="s">
        <v>3744</v>
      </c>
      <c r="G1115" s="7"/>
      <c r="H1115" s="7"/>
      <c r="I1115" s="7"/>
      <c r="J1115" s="58">
        <v>6082</v>
      </c>
      <c r="K1115" s="58">
        <v>6082</v>
      </c>
      <c r="L1115" s="120">
        <f t="shared" si="71"/>
        <v>3624.8719999999998</v>
      </c>
      <c r="M1115" t="s">
        <v>4139</v>
      </c>
    </row>
    <row r="1116" spans="2:13" x14ac:dyDescent="0.25">
      <c r="B1116" s="7" t="s">
        <v>3377</v>
      </c>
      <c r="C1116" s="7" t="s">
        <v>3748</v>
      </c>
      <c r="D1116" s="7" t="s">
        <v>127</v>
      </c>
      <c r="E1116" s="7" t="s">
        <v>3824</v>
      </c>
      <c r="F1116" s="7" t="s">
        <v>3744</v>
      </c>
      <c r="G1116" s="7"/>
      <c r="H1116" s="7"/>
      <c r="I1116" s="7"/>
      <c r="J1116" s="58">
        <v>6082</v>
      </c>
      <c r="K1116" s="58">
        <v>6082</v>
      </c>
      <c r="L1116" s="120">
        <f t="shared" si="71"/>
        <v>3624.8719999999998</v>
      </c>
      <c r="M1116" t="s">
        <v>4139</v>
      </c>
    </row>
    <row r="1117" spans="2:13" x14ac:dyDescent="0.25">
      <c r="B1117" s="7" t="s">
        <v>3378</v>
      </c>
      <c r="C1117" s="7" t="s">
        <v>3748</v>
      </c>
      <c r="D1117" s="7" t="s">
        <v>128</v>
      </c>
      <c r="E1117" s="7" t="s">
        <v>3842</v>
      </c>
      <c r="F1117" s="7" t="s">
        <v>3744</v>
      </c>
      <c r="G1117" s="7"/>
      <c r="H1117" s="7"/>
      <c r="I1117" s="7"/>
      <c r="J1117" s="58">
        <v>6082</v>
      </c>
      <c r="K1117" s="58">
        <v>6082</v>
      </c>
      <c r="L1117" s="120">
        <f t="shared" ref="L1117:L1180" si="73">K1117*0.596</f>
        <v>3624.8719999999998</v>
      </c>
      <c r="M1117" t="s">
        <v>4139</v>
      </c>
    </row>
    <row r="1118" spans="2:13" x14ac:dyDescent="0.25">
      <c r="B1118" s="7" t="s">
        <v>3379</v>
      </c>
      <c r="C1118" s="7" t="s">
        <v>3748</v>
      </c>
      <c r="D1118" s="7" t="s">
        <v>129</v>
      </c>
      <c r="E1118" s="7" t="s">
        <v>3841</v>
      </c>
      <c r="F1118" s="7" t="s">
        <v>3744</v>
      </c>
      <c r="G1118" s="7"/>
      <c r="H1118" s="7"/>
      <c r="I1118" s="7"/>
      <c r="J1118" s="58">
        <v>13905</v>
      </c>
      <c r="K1118" s="58">
        <v>13905</v>
      </c>
      <c r="L1118" s="120">
        <f t="shared" si="73"/>
        <v>8287.3799999999992</v>
      </c>
      <c r="M1118" t="s">
        <v>4139</v>
      </c>
    </row>
    <row r="1119" spans="2:13" x14ac:dyDescent="0.25">
      <c r="B1119" s="7" t="s">
        <v>3380</v>
      </c>
      <c r="C1119" s="7" t="s">
        <v>3748</v>
      </c>
      <c r="D1119" s="7" t="s">
        <v>130</v>
      </c>
      <c r="E1119" s="7" t="s">
        <v>3840</v>
      </c>
      <c r="F1119" s="7" t="s">
        <v>3744</v>
      </c>
      <c r="G1119" s="7"/>
      <c r="H1119" s="7"/>
      <c r="I1119" s="7"/>
      <c r="J1119" s="58">
        <v>13905</v>
      </c>
      <c r="K1119" s="58">
        <v>13905</v>
      </c>
      <c r="L1119" s="120">
        <f t="shared" si="73"/>
        <v>8287.3799999999992</v>
      </c>
      <c r="M1119" t="s">
        <v>4139</v>
      </c>
    </row>
    <row r="1120" spans="2:13" x14ac:dyDescent="0.25">
      <c r="B1120" s="7" t="s">
        <v>3381</v>
      </c>
      <c r="C1120" s="7" t="s">
        <v>3748</v>
      </c>
      <c r="D1120" s="7" t="s">
        <v>142</v>
      </c>
      <c r="E1120" s="7" t="s">
        <v>3839</v>
      </c>
      <c r="F1120" s="7" t="s">
        <v>3744</v>
      </c>
      <c r="G1120" s="7"/>
      <c r="H1120" s="7"/>
      <c r="I1120" s="7"/>
      <c r="J1120" s="58">
        <v>13905</v>
      </c>
      <c r="K1120" s="58">
        <v>13905</v>
      </c>
      <c r="L1120" s="120">
        <f t="shared" si="73"/>
        <v>8287.3799999999992</v>
      </c>
      <c r="M1120" t="s">
        <v>4139</v>
      </c>
    </row>
    <row r="1121" spans="1:13" x14ac:dyDescent="0.25">
      <c r="B1121" s="7" t="s">
        <v>3382</v>
      </c>
      <c r="C1121" s="7" t="s">
        <v>3748</v>
      </c>
      <c r="D1121" s="7" t="s">
        <v>143</v>
      </c>
      <c r="E1121" s="7" t="s">
        <v>3838</v>
      </c>
      <c r="F1121" s="7" t="s">
        <v>3744</v>
      </c>
      <c r="G1121" s="7"/>
      <c r="H1121" s="7"/>
      <c r="I1121" s="7"/>
      <c r="J1121" s="58">
        <v>13905</v>
      </c>
      <c r="K1121" s="58">
        <v>13905</v>
      </c>
      <c r="L1121" s="120">
        <f t="shared" si="73"/>
        <v>8287.3799999999992</v>
      </c>
      <c r="M1121" t="s">
        <v>4139</v>
      </c>
    </row>
    <row r="1122" spans="1:13" x14ac:dyDescent="0.25">
      <c r="B1122" s="7" t="s">
        <v>3383</v>
      </c>
      <c r="C1122" s="7" t="s">
        <v>3748</v>
      </c>
      <c r="D1122" s="7" t="s">
        <v>144</v>
      </c>
      <c r="E1122" s="7" t="s">
        <v>3837</v>
      </c>
      <c r="F1122" s="7" t="s">
        <v>3744</v>
      </c>
      <c r="G1122" s="7"/>
      <c r="H1122" s="7"/>
      <c r="I1122" s="7"/>
      <c r="J1122" s="58">
        <v>13905</v>
      </c>
      <c r="K1122" s="58">
        <v>13905</v>
      </c>
      <c r="L1122" s="120">
        <f t="shared" si="73"/>
        <v>8287.3799999999992</v>
      </c>
      <c r="M1122" t="s">
        <v>4139</v>
      </c>
    </row>
    <row r="1123" spans="1:13" x14ac:dyDescent="0.25">
      <c r="B1123" s="7" t="s">
        <v>3384</v>
      </c>
      <c r="C1123" s="7" t="s">
        <v>3748</v>
      </c>
      <c r="D1123" s="7" t="s">
        <v>145</v>
      </c>
      <c r="E1123" s="7" t="s">
        <v>3836</v>
      </c>
      <c r="F1123" s="7" t="s">
        <v>3744</v>
      </c>
      <c r="G1123" s="7"/>
      <c r="H1123" s="7"/>
      <c r="I1123" s="7"/>
      <c r="J1123" s="58">
        <v>13905</v>
      </c>
      <c r="K1123" s="58">
        <v>13905</v>
      </c>
      <c r="L1123" s="120">
        <f t="shared" si="73"/>
        <v>8287.3799999999992</v>
      </c>
      <c r="M1123" t="s">
        <v>4139</v>
      </c>
    </row>
    <row r="1124" spans="1:13" x14ac:dyDescent="0.25">
      <c r="B1124" s="7" t="s">
        <v>3385</v>
      </c>
      <c r="C1124" s="7" t="s">
        <v>3748</v>
      </c>
      <c r="D1124" s="7" t="s">
        <v>131</v>
      </c>
      <c r="E1124" s="7" t="s">
        <v>3835</v>
      </c>
      <c r="F1124" s="7" t="s">
        <v>3744</v>
      </c>
      <c r="G1124" s="7"/>
      <c r="H1124" s="7"/>
      <c r="I1124" s="7"/>
      <c r="J1124" s="58">
        <v>6082</v>
      </c>
      <c r="K1124" s="58">
        <v>6082</v>
      </c>
      <c r="L1124" s="120">
        <f t="shared" si="73"/>
        <v>3624.8719999999998</v>
      </c>
      <c r="M1124" t="s">
        <v>4139</v>
      </c>
    </row>
    <row r="1125" spans="1:13" x14ac:dyDescent="0.25">
      <c r="B1125" s="7" t="s">
        <v>3386</v>
      </c>
      <c r="C1125" s="7" t="s">
        <v>3748</v>
      </c>
      <c r="D1125" s="7" t="s">
        <v>132</v>
      </c>
      <c r="E1125" s="7" t="s">
        <v>3834</v>
      </c>
      <c r="F1125" s="7" t="s">
        <v>3744</v>
      </c>
      <c r="G1125" s="7"/>
      <c r="H1125" s="7"/>
      <c r="I1125" s="7"/>
      <c r="J1125" s="58">
        <v>6082</v>
      </c>
      <c r="K1125" s="58">
        <v>6082</v>
      </c>
      <c r="L1125" s="120">
        <f t="shared" si="73"/>
        <v>3624.8719999999998</v>
      </c>
      <c r="M1125" t="s">
        <v>4139</v>
      </c>
    </row>
    <row r="1126" spans="1:13" x14ac:dyDescent="0.25">
      <c r="B1126" s="7" t="s">
        <v>3387</v>
      </c>
      <c r="C1126" s="7" t="s">
        <v>3748</v>
      </c>
      <c r="D1126" s="7" t="s">
        <v>133</v>
      </c>
      <c r="E1126" s="7" t="s">
        <v>3833</v>
      </c>
      <c r="F1126" s="7" t="s">
        <v>3744</v>
      </c>
      <c r="G1126" s="7"/>
      <c r="H1126" s="7"/>
      <c r="I1126" s="7"/>
      <c r="J1126" s="58">
        <v>6082</v>
      </c>
      <c r="K1126" s="58">
        <v>6082</v>
      </c>
      <c r="L1126" s="120">
        <f t="shared" si="73"/>
        <v>3624.8719999999998</v>
      </c>
      <c r="M1126" t="s">
        <v>4139</v>
      </c>
    </row>
    <row r="1127" spans="1:13" x14ac:dyDescent="0.25">
      <c r="B1127" s="7" t="s">
        <v>3388</v>
      </c>
      <c r="C1127" s="7" t="s">
        <v>3748</v>
      </c>
      <c r="D1127" s="7" t="s">
        <v>134</v>
      </c>
      <c r="E1127" s="7" t="s">
        <v>3832</v>
      </c>
      <c r="F1127" s="7" t="s">
        <v>3744</v>
      </c>
      <c r="G1127" s="7"/>
      <c r="H1127" s="7"/>
      <c r="I1127" s="7"/>
      <c r="J1127" s="58">
        <v>6082</v>
      </c>
      <c r="K1127" s="58">
        <v>6082</v>
      </c>
      <c r="L1127" s="120">
        <f t="shared" si="73"/>
        <v>3624.8719999999998</v>
      </c>
      <c r="M1127" t="s">
        <v>4139</v>
      </c>
    </row>
    <row r="1128" spans="1:13" x14ac:dyDescent="0.25">
      <c r="B1128" s="7" t="s">
        <v>3389</v>
      </c>
      <c r="C1128" s="7" t="s">
        <v>3748</v>
      </c>
      <c r="D1128" s="7" t="s">
        <v>135</v>
      </c>
      <c r="E1128" s="7" t="s">
        <v>3831</v>
      </c>
      <c r="F1128" s="7" t="s">
        <v>3744</v>
      </c>
      <c r="G1128" s="7"/>
      <c r="H1128" s="7"/>
      <c r="I1128" s="7"/>
      <c r="J1128" s="58">
        <v>6082</v>
      </c>
      <c r="K1128" s="58">
        <v>6082</v>
      </c>
      <c r="L1128" s="120">
        <f t="shared" si="73"/>
        <v>3624.8719999999998</v>
      </c>
      <c r="M1128" t="s">
        <v>4139</v>
      </c>
    </row>
    <row r="1129" spans="1:13" x14ac:dyDescent="0.25">
      <c r="B1129" s="7" t="s">
        <v>3390</v>
      </c>
      <c r="C1129" s="7" t="s">
        <v>3748</v>
      </c>
      <c r="D1129" s="7" t="s">
        <v>136</v>
      </c>
      <c r="E1129" s="7" t="s">
        <v>3830</v>
      </c>
      <c r="F1129" s="7" t="s">
        <v>3744</v>
      </c>
      <c r="G1129" s="7"/>
      <c r="H1129" s="7"/>
      <c r="I1129" s="7"/>
      <c r="J1129" s="58">
        <v>13905</v>
      </c>
      <c r="K1129" s="58">
        <v>13905</v>
      </c>
      <c r="L1129" s="120">
        <f t="shared" si="73"/>
        <v>8287.3799999999992</v>
      </c>
      <c r="M1129" t="s">
        <v>4139</v>
      </c>
    </row>
    <row r="1130" spans="1:13" x14ac:dyDescent="0.25">
      <c r="B1130" s="7" t="s">
        <v>3391</v>
      </c>
      <c r="C1130" s="7" t="s">
        <v>3748</v>
      </c>
      <c r="D1130" s="7" t="s">
        <v>137</v>
      </c>
      <c r="E1130" s="7" t="s">
        <v>3829</v>
      </c>
      <c r="F1130" s="7" t="s">
        <v>3744</v>
      </c>
      <c r="G1130" s="7"/>
      <c r="H1130" s="7"/>
      <c r="I1130" s="7"/>
      <c r="J1130" s="58">
        <v>13905</v>
      </c>
      <c r="K1130" s="58">
        <v>13905</v>
      </c>
      <c r="L1130" s="120">
        <f t="shared" si="73"/>
        <v>8287.3799999999992</v>
      </c>
      <c r="M1130" t="s">
        <v>4139</v>
      </c>
    </row>
    <row r="1131" spans="1:13" x14ac:dyDescent="0.25">
      <c r="B1131" s="7" t="s">
        <v>3392</v>
      </c>
      <c r="C1131" s="7" t="s">
        <v>3748</v>
      </c>
      <c r="D1131" s="7" t="s">
        <v>146</v>
      </c>
      <c r="E1131" s="7" t="s">
        <v>3828</v>
      </c>
      <c r="F1131" s="7" t="s">
        <v>3744</v>
      </c>
      <c r="G1131" s="7"/>
      <c r="H1131" s="7"/>
      <c r="I1131" s="7"/>
      <c r="J1131" s="58">
        <v>13905</v>
      </c>
      <c r="K1131" s="58">
        <v>13905</v>
      </c>
      <c r="L1131" s="120">
        <f t="shared" si="73"/>
        <v>8287.3799999999992</v>
      </c>
      <c r="M1131" t="s">
        <v>4139</v>
      </c>
    </row>
    <row r="1132" spans="1:13" x14ac:dyDescent="0.25">
      <c r="B1132" s="7" t="s">
        <v>3393</v>
      </c>
      <c r="C1132" s="7" t="s">
        <v>3748</v>
      </c>
      <c r="D1132" s="7" t="s">
        <v>156</v>
      </c>
      <c r="E1132" s="7" t="s">
        <v>3827</v>
      </c>
      <c r="F1132" s="7" t="s">
        <v>3744</v>
      </c>
      <c r="G1132" s="7"/>
      <c r="H1132" s="7"/>
      <c r="I1132" s="7"/>
      <c r="J1132" s="58">
        <v>13905</v>
      </c>
      <c r="K1132" s="58">
        <v>13905</v>
      </c>
      <c r="L1132" s="120">
        <f t="shared" si="73"/>
        <v>8287.3799999999992</v>
      </c>
      <c r="M1132" t="s">
        <v>4139</v>
      </c>
    </row>
    <row r="1133" spans="1:13" x14ac:dyDescent="0.25">
      <c r="B1133" s="7" t="s">
        <v>3394</v>
      </c>
      <c r="C1133" s="7" t="s">
        <v>3748</v>
      </c>
      <c r="D1133" s="7" t="s">
        <v>148</v>
      </c>
      <c r="E1133" s="7" t="s">
        <v>3826</v>
      </c>
      <c r="F1133" s="7" t="s">
        <v>3744</v>
      </c>
      <c r="G1133" s="7"/>
      <c r="H1133" s="7"/>
      <c r="I1133" s="7"/>
      <c r="J1133" s="58">
        <v>13905</v>
      </c>
      <c r="K1133" s="58">
        <v>13905</v>
      </c>
      <c r="L1133" s="120">
        <f t="shared" si="73"/>
        <v>8287.3799999999992</v>
      </c>
      <c r="M1133" t="s">
        <v>4139</v>
      </c>
    </row>
    <row r="1134" spans="1:13" x14ac:dyDescent="0.25">
      <c r="B1134" s="7" t="s">
        <v>3395</v>
      </c>
      <c r="C1134" s="7" t="s">
        <v>3748</v>
      </c>
      <c r="D1134" s="7" t="s">
        <v>149</v>
      </c>
      <c r="E1134" s="7" t="s">
        <v>3825</v>
      </c>
      <c r="F1134" s="7" t="s">
        <v>3744</v>
      </c>
      <c r="G1134" s="7"/>
      <c r="H1134" s="7"/>
      <c r="I1134" s="7"/>
      <c r="J1134" s="58">
        <v>13905</v>
      </c>
      <c r="K1134" s="58">
        <v>13905</v>
      </c>
      <c r="L1134" s="120">
        <f t="shared" si="73"/>
        <v>8287.3799999999992</v>
      </c>
      <c r="M1134" t="s">
        <v>4139</v>
      </c>
    </row>
    <row r="1135" spans="1:13" x14ac:dyDescent="0.25">
      <c r="A1135" s="63" t="s">
        <v>3997</v>
      </c>
      <c r="B1135" s="121" t="s">
        <v>3994</v>
      </c>
      <c r="C1135" s="68"/>
      <c r="D1135" s="63"/>
      <c r="E1135" s="64"/>
      <c r="F1135" s="63"/>
      <c r="G1135" s="65"/>
      <c r="H1135" s="70"/>
      <c r="I1135" s="70"/>
      <c r="J1135" s="122"/>
      <c r="K1135" s="70"/>
      <c r="L1135" s="126"/>
    </row>
    <row r="1136" spans="1:13" x14ac:dyDescent="0.25">
      <c r="B1136" s="7" t="s">
        <v>3396</v>
      </c>
      <c r="C1136" s="7" t="s">
        <v>3749</v>
      </c>
      <c r="D1136" s="7" t="s">
        <v>22</v>
      </c>
      <c r="E1136" s="7" t="s">
        <v>3810</v>
      </c>
      <c r="F1136" s="7" t="s">
        <v>3747</v>
      </c>
      <c r="G1136" s="7"/>
      <c r="H1136" s="7"/>
      <c r="I1136" s="7"/>
      <c r="J1136" s="58">
        <v>7607</v>
      </c>
      <c r="K1136" s="123">
        <f>J1136*1.11</f>
        <v>8443.77</v>
      </c>
      <c r="L1136" s="120">
        <f t="shared" si="73"/>
        <v>5032.4869200000003</v>
      </c>
      <c r="M1136" t="s">
        <v>4140</v>
      </c>
    </row>
    <row r="1137" spans="2:13" x14ac:dyDescent="0.25">
      <c r="B1137" s="7" t="s">
        <v>3397</v>
      </c>
      <c r="C1137" s="7" t="s">
        <v>3749</v>
      </c>
      <c r="D1137" s="7" t="s">
        <v>23</v>
      </c>
      <c r="E1137" s="7" t="s">
        <v>3811</v>
      </c>
      <c r="F1137" s="7" t="s">
        <v>3747</v>
      </c>
      <c r="G1137" s="7"/>
      <c r="H1137" s="7"/>
      <c r="I1137" s="7"/>
      <c r="J1137" s="58">
        <v>7607</v>
      </c>
      <c r="K1137" s="123">
        <f t="shared" ref="K1137:K1168" si="74">J1137*1.11</f>
        <v>8443.77</v>
      </c>
      <c r="L1137" s="120">
        <f t="shared" si="73"/>
        <v>5032.4869200000003</v>
      </c>
      <c r="M1137" t="s">
        <v>4140</v>
      </c>
    </row>
    <row r="1138" spans="2:13" x14ac:dyDescent="0.25">
      <c r="B1138" s="7" t="s">
        <v>3398</v>
      </c>
      <c r="C1138" s="7" t="s">
        <v>3749</v>
      </c>
      <c r="D1138" s="7" t="s">
        <v>24</v>
      </c>
      <c r="E1138" s="7" t="s">
        <v>3812</v>
      </c>
      <c r="F1138" s="7" t="s">
        <v>3747</v>
      </c>
      <c r="G1138" s="7"/>
      <c r="H1138" s="7"/>
      <c r="I1138" s="7"/>
      <c r="J1138" s="58">
        <v>7607</v>
      </c>
      <c r="K1138" s="123">
        <f t="shared" si="74"/>
        <v>8443.77</v>
      </c>
      <c r="L1138" s="120">
        <f t="shared" si="73"/>
        <v>5032.4869200000003</v>
      </c>
      <c r="M1138" t="s">
        <v>4140</v>
      </c>
    </row>
    <row r="1139" spans="2:13" x14ac:dyDescent="0.25">
      <c r="B1139" s="7" t="s">
        <v>3399</v>
      </c>
      <c r="C1139" s="7" t="s">
        <v>3749</v>
      </c>
      <c r="D1139" s="7" t="s">
        <v>120</v>
      </c>
      <c r="E1139" s="7" t="s">
        <v>3813</v>
      </c>
      <c r="F1139" s="7" t="s">
        <v>3747</v>
      </c>
      <c r="G1139" s="7"/>
      <c r="H1139" s="7"/>
      <c r="I1139" s="7"/>
      <c r="J1139" s="58">
        <v>7607</v>
      </c>
      <c r="K1139" s="123">
        <f t="shared" si="74"/>
        <v>8443.77</v>
      </c>
      <c r="L1139" s="120">
        <f t="shared" si="73"/>
        <v>5032.4869200000003</v>
      </c>
      <c r="M1139" t="s">
        <v>4140</v>
      </c>
    </row>
    <row r="1140" spans="2:13" x14ac:dyDescent="0.25">
      <c r="B1140" s="7" t="s">
        <v>3400</v>
      </c>
      <c r="C1140" s="7" t="s">
        <v>3749</v>
      </c>
      <c r="D1140" s="7" t="s">
        <v>121</v>
      </c>
      <c r="E1140" s="7" t="s">
        <v>3814</v>
      </c>
      <c r="F1140" s="7" t="s">
        <v>3747</v>
      </c>
      <c r="G1140" s="7"/>
      <c r="H1140" s="7"/>
      <c r="I1140" s="7"/>
      <c r="J1140" s="58">
        <v>7607</v>
      </c>
      <c r="K1140" s="123">
        <f t="shared" si="74"/>
        <v>8443.77</v>
      </c>
      <c r="L1140" s="120">
        <f t="shared" si="73"/>
        <v>5032.4869200000003</v>
      </c>
      <c r="M1140" t="s">
        <v>4140</v>
      </c>
    </row>
    <row r="1141" spans="2:13" x14ac:dyDescent="0.25">
      <c r="B1141" s="7" t="s">
        <v>3401</v>
      </c>
      <c r="C1141" s="7" t="s">
        <v>3749</v>
      </c>
      <c r="D1141" s="7" t="s">
        <v>122</v>
      </c>
      <c r="E1141" s="7" t="s">
        <v>3815</v>
      </c>
      <c r="F1141" s="7" t="s">
        <v>3747</v>
      </c>
      <c r="G1141" s="7"/>
      <c r="H1141" s="7"/>
      <c r="I1141" s="7"/>
      <c r="J1141" s="58">
        <v>15417</v>
      </c>
      <c r="K1141" s="123">
        <f t="shared" si="74"/>
        <v>17112.870000000003</v>
      </c>
      <c r="L1141" s="120">
        <f t="shared" si="73"/>
        <v>10199.270520000002</v>
      </c>
      <c r="M1141" t="s">
        <v>4140</v>
      </c>
    </row>
    <row r="1142" spans="2:13" x14ac:dyDescent="0.25">
      <c r="B1142" s="7" t="s">
        <v>3402</v>
      </c>
      <c r="C1142" s="7" t="s">
        <v>3749</v>
      </c>
      <c r="D1142" s="7" t="s">
        <v>123</v>
      </c>
      <c r="E1142" s="7" t="s">
        <v>3816</v>
      </c>
      <c r="F1142" s="7" t="s">
        <v>3747</v>
      </c>
      <c r="G1142" s="7"/>
      <c r="H1142" s="7"/>
      <c r="I1142" s="7"/>
      <c r="J1142" s="58">
        <v>15417</v>
      </c>
      <c r="K1142" s="123">
        <f t="shared" si="74"/>
        <v>17112.870000000003</v>
      </c>
      <c r="L1142" s="120">
        <f t="shared" si="73"/>
        <v>10199.270520000002</v>
      </c>
      <c r="M1142" t="s">
        <v>4140</v>
      </c>
    </row>
    <row r="1143" spans="2:13" x14ac:dyDescent="0.25">
      <c r="B1143" s="7" t="s">
        <v>3403</v>
      </c>
      <c r="C1143" s="7" t="s">
        <v>3749</v>
      </c>
      <c r="D1143" s="7" t="s">
        <v>138</v>
      </c>
      <c r="E1143" s="7" t="s">
        <v>3817</v>
      </c>
      <c r="F1143" s="7" t="s">
        <v>3747</v>
      </c>
      <c r="G1143" s="7"/>
      <c r="H1143" s="7"/>
      <c r="I1143" s="7"/>
      <c r="J1143" s="58">
        <v>15417</v>
      </c>
      <c r="K1143" s="123">
        <f t="shared" si="74"/>
        <v>17112.870000000003</v>
      </c>
      <c r="L1143" s="120">
        <f t="shared" si="73"/>
        <v>10199.270520000002</v>
      </c>
      <c r="M1143" t="s">
        <v>4140</v>
      </c>
    </row>
    <row r="1144" spans="2:13" x14ac:dyDescent="0.25">
      <c r="B1144" s="7" t="s">
        <v>3404</v>
      </c>
      <c r="C1144" s="7" t="s">
        <v>3749</v>
      </c>
      <c r="D1144" s="7" t="s">
        <v>139</v>
      </c>
      <c r="E1144" s="7" t="s">
        <v>3818</v>
      </c>
      <c r="F1144" s="7" t="s">
        <v>3747</v>
      </c>
      <c r="G1144" s="7"/>
      <c r="H1144" s="7"/>
      <c r="I1144" s="7"/>
      <c r="J1144" s="58">
        <v>15417</v>
      </c>
      <c r="K1144" s="123">
        <f t="shared" si="74"/>
        <v>17112.870000000003</v>
      </c>
      <c r="L1144" s="120">
        <f t="shared" si="73"/>
        <v>10199.270520000002</v>
      </c>
      <c r="M1144" t="s">
        <v>4140</v>
      </c>
    </row>
    <row r="1145" spans="2:13" x14ac:dyDescent="0.25">
      <c r="B1145" s="7" t="s">
        <v>3405</v>
      </c>
      <c r="C1145" s="7" t="s">
        <v>3749</v>
      </c>
      <c r="D1145" s="7" t="s">
        <v>140</v>
      </c>
      <c r="E1145" s="7" t="s">
        <v>3819</v>
      </c>
      <c r="F1145" s="7" t="s">
        <v>3747</v>
      </c>
      <c r="G1145" s="7"/>
      <c r="H1145" s="7"/>
      <c r="I1145" s="7"/>
      <c r="J1145" s="58">
        <v>15417</v>
      </c>
      <c r="K1145" s="123">
        <f t="shared" si="74"/>
        <v>17112.870000000003</v>
      </c>
      <c r="L1145" s="120">
        <f t="shared" si="73"/>
        <v>10199.270520000002</v>
      </c>
      <c r="M1145" t="s">
        <v>4140</v>
      </c>
    </row>
    <row r="1146" spans="2:13" x14ac:dyDescent="0.25">
      <c r="B1146" s="7" t="s">
        <v>3406</v>
      </c>
      <c r="C1146" s="7" t="s">
        <v>3749</v>
      </c>
      <c r="D1146" s="7" t="s">
        <v>141</v>
      </c>
      <c r="E1146" s="7" t="s">
        <v>3820</v>
      </c>
      <c r="F1146" s="7" t="s">
        <v>3747</v>
      </c>
      <c r="G1146" s="7"/>
      <c r="H1146" s="7"/>
      <c r="I1146" s="7"/>
      <c r="J1146" s="58">
        <v>15417</v>
      </c>
      <c r="K1146" s="123">
        <f t="shared" si="74"/>
        <v>17112.870000000003</v>
      </c>
      <c r="L1146" s="120">
        <f t="shared" si="73"/>
        <v>10199.270520000002</v>
      </c>
      <c r="M1146" t="s">
        <v>4140</v>
      </c>
    </row>
    <row r="1147" spans="2:13" x14ac:dyDescent="0.25">
      <c r="B1147" s="7" t="s">
        <v>3407</v>
      </c>
      <c r="C1147" s="7" t="s">
        <v>3749</v>
      </c>
      <c r="D1147" s="7" t="s">
        <v>124</v>
      </c>
      <c r="E1147" s="7" t="s">
        <v>3821</v>
      </c>
      <c r="F1147" s="7" t="s">
        <v>3747</v>
      </c>
      <c r="G1147" s="7"/>
      <c r="H1147" s="7"/>
      <c r="I1147" s="7"/>
      <c r="J1147" s="58">
        <v>7607</v>
      </c>
      <c r="K1147" s="123">
        <f t="shared" si="74"/>
        <v>8443.77</v>
      </c>
      <c r="L1147" s="120">
        <f t="shared" si="73"/>
        <v>5032.4869200000003</v>
      </c>
      <c r="M1147" t="s">
        <v>4140</v>
      </c>
    </row>
    <row r="1148" spans="2:13" x14ac:dyDescent="0.25">
      <c r="B1148" s="7" t="s">
        <v>3408</v>
      </c>
      <c r="C1148" s="7" t="s">
        <v>3749</v>
      </c>
      <c r="D1148" s="7" t="s">
        <v>125</v>
      </c>
      <c r="E1148" s="7" t="s">
        <v>3822</v>
      </c>
      <c r="F1148" s="7" t="s">
        <v>3747</v>
      </c>
      <c r="G1148" s="7"/>
      <c r="H1148" s="7"/>
      <c r="I1148" s="7"/>
      <c r="J1148" s="58">
        <v>7607</v>
      </c>
      <c r="K1148" s="123">
        <f t="shared" si="74"/>
        <v>8443.77</v>
      </c>
      <c r="L1148" s="120">
        <f t="shared" si="73"/>
        <v>5032.4869200000003</v>
      </c>
      <c r="M1148" t="s">
        <v>4140</v>
      </c>
    </row>
    <row r="1149" spans="2:13" x14ac:dyDescent="0.25">
      <c r="B1149" s="7" t="s">
        <v>3409</v>
      </c>
      <c r="C1149" s="7" t="s">
        <v>3749</v>
      </c>
      <c r="D1149" s="7" t="s">
        <v>126</v>
      </c>
      <c r="E1149" s="7" t="s">
        <v>3823</v>
      </c>
      <c r="F1149" s="7" t="s">
        <v>3747</v>
      </c>
      <c r="G1149" s="7"/>
      <c r="H1149" s="7"/>
      <c r="I1149" s="7"/>
      <c r="J1149" s="58">
        <v>7607</v>
      </c>
      <c r="K1149" s="123">
        <f t="shared" si="74"/>
        <v>8443.77</v>
      </c>
      <c r="L1149" s="120">
        <f t="shared" si="73"/>
        <v>5032.4869200000003</v>
      </c>
      <c r="M1149" t="s">
        <v>4140</v>
      </c>
    </row>
    <row r="1150" spans="2:13" x14ac:dyDescent="0.25">
      <c r="B1150" s="7" t="s">
        <v>3410</v>
      </c>
      <c r="C1150" s="7" t="s">
        <v>3749</v>
      </c>
      <c r="D1150" s="7" t="s">
        <v>127</v>
      </c>
      <c r="E1150" s="7" t="s">
        <v>3824</v>
      </c>
      <c r="F1150" s="7" t="s">
        <v>3747</v>
      </c>
      <c r="G1150" s="7"/>
      <c r="H1150" s="7"/>
      <c r="I1150" s="7"/>
      <c r="J1150" s="58">
        <v>7607</v>
      </c>
      <c r="K1150" s="123">
        <f t="shared" si="74"/>
        <v>8443.77</v>
      </c>
      <c r="L1150" s="120">
        <f t="shared" si="73"/>
        <v>5032.4869200000003</v>
      </c>
      <c r="M1150" t="s">
        <v>4140</v>
      </c>
    </row>
    <row r="1151" spans="2:13" x14ac:dyDescent="0.25">
      <c r="B1151" s="7" t="s">
        <v>3411</v>
      </c>
      <c r="C1151" s="7" t="s">
        <v>3749</v>
      </c>
      <c r="D1151" s="7" t="s">
        <v>128</v>
      </c>
      <c r="E1151" s="7" t="s">
        <v>3842</v>
      </c>
      <c r="F1151" s="7" t="s">
        <v>3747</v>
      </c>
      <c r="G1151" s="7"/>
      <c r="H1151" s="7"/>
      <c r="I1151" s="7"/>
      <c r="J1151" s="58">
        <v>7607</v>
      </c>
      <c r="K1151" s="123">
        <f t="shared" si="74"/>
        <v>8443.77</v>
      </c>
      <c r="L1151" s="120">
        <f t="shared" si="73"/>
        <v>5032.4869200000003</v>
      </c>
      <c r="M1151" t="s">
        <v>4140</v>
      </c>
    </row>
    <row r="1152" spans="2:13" x14ac:dyDescent="0.25">
      <c r="B1152" s="7" t="s">
        <v>3412</v>
      </c>
      <c r="C1152" s="7" t="s">
        <v>3749</v>
      </c>
      <c r="D1152" s="7" t="s">
        <v>129</v>
      </c>
      <c r="E1152" s="7" t="s">
        <v>3841</v>
      </c>
      <c r="F1152" s="7" t="s">
        <v>3747</v>
      </c>
      <c r="G1152" s="7"/>
      <c r="H1152" s="7"/>
      <c r="I1152" s="7"/>
      <c r="J1152" s="58">
        <v>15417</v>
      </c>
      <c r="K1152" s="123">
        <f t="shared" si="74"/>
        <v>17112.870000000003</v>
      </c>
      <c r="L1152" s="120">
        <f t="shared" si="73"/>
        <v>10199.270520000002</v>
      </c>
      <c r="M1152" t="s">
        <v>4140</v>
      </c>
    </row>
    <row r="1153" spans="2:13" x14ac:dyDescent="0.25">
      <c r="B1153" s="7" t="s">
        <v>3413</v>
      </c>
      <c r="C1153" s="7" t="s">
        <v>3749</v>
      </c>
      <c r="D1153" s="7" t="s">
        <v>130</v>
      </c>
      <c r="E1153" s="7" t="s">
        <v>3840</v>
      </c>
      <c r="F1153" s="7" t="s">
        <v>3747</v>
      </c>
      <c r="G1153" s="7"/>
      <c r="H1153" s="7"/>
      <c r="I1153" s="7"/>
      <c r="J1153" s="58">
        <v>15417</v>
      </c>
      <c r="K1153" s="123">
        <f t="shared" si="74"/>
        <v>17112.870000000003</v>
      </c>
      <c r="L1153" s="120">
        <f t="shared" si="73"/>
        <v>10199.270520000002</v>
      </c>
      <c r="M1153" t="s">
        <v>4140</v>
      </c>
    </row>
    <row r="1154" spans="2:13" x14ac:dyDescent="0.25">
      <c r="B1154" s="7" t="s">
        <v>3414</v>
      </c>
      <c r="C1154" s="7" t="s">
        <v>3749</v>
      </c>
      <c r="D1154" s="7" t="s">
        <v>142</v>
      </c>
      <c r="E1154" s="7" t="s">
        <v>3839</v>
      </c>
      <c r="F1154" s="7" t="s">
        <v>3747</v>
      </c>
      <c r="G1154" s="7"/>
      <c r="H1154" s="7"/>
      <c r="I1154" s="7"/>
      <c r="J1154" s="58">
        <v>15417</v>
      </c>
      <c r="K1154" s="123">
        <f t="shared" si="74"/>
        <v>17112.870000000003</v>
      </c>
      <c r="L1154" s="120">
        <f t="shared" si="73"/>
        <v>10199.270520000002</v>
      </c>
      <c r="M1154" t="s">
        <v>4140</v>
      </c>
    </row>
    <row r="1155" spans="2:13" x14ac:dyDescent="0.25">
      <c r="B1155" s="7" t="s">
        <v>3415</v>
      </c>
      <c r="C1155" s="7" t="s">
        <v>3749</v>
      </c>
      <c r="D1155" s="7" t="s">
        <v>143</v>
      </c>
      <c r="E1155" s="7" t="s">
        <v>3838</v>
      </c>
      <c r="F1155" s="7" t="s">
        <v>3747</v>
      </c>
      <c r="G1155" s="7"/>
      <c r="H1155" s="7"/>
      <c r="I1155" s="7"/>
      <c r="J1155" s="58">
        <v>15417</v>
      </c>
      <c r="K1155" s="123">
        <f t="shared" si="74"/>
        <v>17112.870000000003</v>
      </c>
      <c r="L1155" s="120">
        <f t="shared" si="73"/>
        <v>10199.270520000002</v>
      </c>
      <c r="M1155" t="s">
        <v>4140</v>
      </c>
    </row>
    <row r="1156" spans="2:13" x14ac:dyDescent="0.25">
      <c r="B1156" s="7" t="s">
        <v>3416</v>
      </c>
      <c r="C1156" s="7" t="s">
        <v>3749</v>
      </c>
      <c r="D1156" s="7" t="s">
        <v>144</v>
      </c>
      <c r="E1156" s="7" t="s">
        <v>3837</v>
      </c>
      <c r="F1156" s="7" t="s">
        <v>3747</v>
      </c>
      <c r="G1156" s="7"/>
      <c r="H1156" s="7"/>
      <c r="I1156" s="7"/>
      <c r="J1156" s="58">
        <v>15417</v>
      </c>
      <c r="K1156" s="123">
        <f t="shared" si="74"/>
        <v>17112.870000000003</v>
      </c>
      <c r="L1156" s="120">
        <f t="shared" si="73"/>
        <v>10199.270520000002</v>
      </c>
      <c r="M1156" t="s">
        <v>4140</v>
      </c>
    </row>
    <row r="1157" spans="2:13" x14ac:dyDescent="0.25">
      <c r="B1157" s="7" t="s">
        <v>3417</v>
      </c>
      <c r="C1157" s="7" t="s">
        <v>3749</v>
      </c>
      <c r="D1157" s="7" t="s">
        <v>145</v>
      </c>
      <c r="E1157" s="7" t="s">
        <v>3836</v>
      </c>
      <c r="F1157" s="7" t="s">
        <v>3747</v>
      </c>
      <c r="G1157" s="7"/>
      <c r="H1157" s="7"/>
      <c r="I1157" s="7"/>
      <c r="J1157" s="58">
        <v>15417</v>
      </c>
      <c r="K1157" s="123">
        <f t="shared" si="74"/>
        <v>17112.870000000003</v>
      </c>
      <c r="L1157" s="120">
        <f t="shared" si="73"/>
        <v>10199.270520000002</v>
      </c>
      <c r="M1157" t="s">
        <v>4140</v>
      </c>
    </row>
    <row r="1158" spans="2:13" x14ac:dyDescent="0.25">
      <c r="B1158" s="7" t="s">
        <v>3418</v>
      </c>
      <c r="C1158" s="7" t="s">
        <v>3749</v>
      </c>
      <c r="D1158" s="7" t="s">
        <v>131</v>
      </c>
      <c r="E1158" s="7" t="s">
        <v>3835</v>
      </c>
      <c r="F1158" s="7" t="s">
        <v>3747</v>
      </c>
      <c r="G1158" s="7"/>
      <c r="H1158" s="7"/>
      <c r="I1158" s="7"/>
      <c r="J1158" s="58">
        <v>7607</v>
      </c>
      <c r="K1158" s="123">
        <f t="shared" si="74"/>
        <v>8443.77</v>
      </c>
      <c r="L1158" s="120">
        <f t="shared" si="73"/>
        <v>5032.4869200000003</v>
      </c>
      <c r="M1158" t="s">
        <v>4140</v>
      </c>
    </row>
    <row r="1159" spans="2:13" x14ac:dyDescent="0.25">
      <c r="B1159" s="7" t="s">
        <v>3419</v>
      </c>
      <c r="C1159" s="7" t="s">
        <v>3749</v>
      </c>
      <c r="D1159" s="7" t="s">
        <v>132</v>
      </c>
      <c r="E1159" s="7" t="s">
        <v>3834</v>
      </c>
      <c r="F1159" s="7" t="s">
        <v>3747</v>
      </c>
      <c r="G1159" s="7"/>
      <c r="H1159" s="7"/>
      <c r="I1159" s="7"/>
      <c r="J1159" s="58">
        <v>7607</v>
      </c>
      <c r="K1159" s="123">
        <f t="shared" si="74"/>
        <v>8443.77</v>
      </c>
      <c r="L1159" s="120">
        <f t="shared" si="73"/>
        <v>5032.4869200000003</v>
      </c>
      <c r="M1159" t="s">
        <v>4140</v>
      </c>
    </row>
    <row r="1160" spans="2:13" x14ac:dyDescent="0.25">
      <c r="B1160" s="7" t="s">
        <v>3420</v>
      </c>
      <c r="C1160" s="7" t="s">
        <v>3749</v>
      </c>
      <c r="D1160" s="7" t="s">
        <v>133</v>
      </c>
      <c r="E1160" s="7" t="s">
        <v>3833</v>
      </c>
      <c r="F1160" s="7" t="s">
        <v>3747</v>
      </c>
      <c r="G1160" s="7"/>
      <c r="H1160" s="7"/>
      <c r="I1160" s="7"/>
      <c r="J1160" s="58">
        <v>7607</v>
      </c>
      <c r="K1160" s="123">
        <f t="shared" si="74"/>
        <v>8443.77</v>
      </c>
      <c r="L1160" s="120">
        <f t="shared" si="73"/>
        <v>5032.4869200000003</v>
      </c>
      <c r="M1160" t="s">
        <v>4140</v>
      </c>
    </row>
    <row r="1161" spans="2:13" x14ac:dyDescent="0.25">
      <c r="B1161" s="7" t="s">
        <v>3421</v>
      </c>
      <c r="C1161" s="7" t="s">
        <v>3749</v>
      </c>
      <c r="D1161" s="7" t="s">
        <v>134</v>
      </c>
      <c r="E1161" s="7" t="s">
        <v>3832</v>
      </c>
      <c r="F1161" s="7" t="s">
        <v>3747</v>
      </c>
      <c r="G1161" s="7"/>
      <c r="H1161" s="7"/>
      <c r="I1161" s="7"/>
      <c r="J1161" s="58">
        <v>7607</v>
      </c>
      <c r="K1161" s="123">
        <f t="shared" si="74"/>
        <v>8443.77</v>
      </c>
      <c r="L1161" s="120">
        <f t="shared" si="73"/>
        <v>5032.4869200000003</v>
      </c>
      <c r="M1161" t="s">
        <v>4140</v>
      </c>
    </row>
    <row r="1162" spans="2:13" x14ac:dyDescent="0.25">
      <c r="B1162" s="7" t="s">
        <v>3422</v>
      </c>
      <c r="C1162" s="7" t="s">
        <v>3749</v>
      </c>
      <c r="D1162" s="7" t="s">
        <v>135</v>
      </c>
      <c r="E1162" s="7" t="s">
        <v>3831</v>
      </c>
      <c r="F1162" s="7" t="s">
        <v>3747</v>
      </c>
      <c r="G1162" s="7"/>
      <c r="H1162" s="7"/>
      <c r="I1162" s="7"/>
      <c r="J1162" s="58">
        <v>7607</v>
      </c>
      <c r="K1162" s="123">
        <f t="shared" si="74"/>
        <v>8443.77</v>
      </c>
      <c r="L1162" s="120">
        <f t="shared" si="73"/>
        <v>5032.4869200000003</v>
      </c>
      <c r="M1162" t="s">
        <v>4140</v>
      </c>
    </row>
    <row r="1163" spans="2:13" x14ac:dyDescent="0.25">
      <c r="B1163" s="7" t="s">
        <v>3423</v>
      </c>
      <c r="C1163" s="7" t="s">
        <v>3749</v>
      </c>
      <c r="D1163" s="7" t="s">
        <v>136</v>
      </c>
      <c r="E1163" s="7" t="s">
        <v>3830</v>
      </c>
      <c r="F1163" s="7" t="s">
        <v>3747</v>
      </c>
      <c r="G1163" s="7"/>
      <c r="H1163" s="7"/>
      <c r="I1163" s="7"/>
      <c r="J1163" s="58">
        <v>15417</v>
      </c>
      <c r="K1163" s="123">
        <f t="shared" si="74"/>
        <v>17112.870000000003</v>
      </c>
      <c r="L1163" s="120">
        <f t="shared" si="73"/>
        <v>10199.270520000002</v>
      </c>
      <c r="M1163" t="s">
        <v>4140</v>
      </c>
    </row>
    <row r="1164" spans="2:13" x14ac:dyDescent="0.25">
      <c r="B1164" s="7" t="s">
        <v>3424</v>
      </c>
      <c r="C1164" s="7" t="s">
        <v>3749</v>
      </c>
      <c r="D1164" s="7" t="s">
        <v>137</v>
      </c>
      <c r="E1164" s="7" t="s">
        <v>3829</v>
      </c>
      <c r="F1164" s="7" t="s">
        <v>3747</v>
      </c>
      <c r="G1164" s="7"/>
      <c r="H1164" s="7"/>
      <c r="I1164" s="7"/>
      <c r="J1164" s="58">
        <v>15417</v>
      </c>
      <c r="K1164" s="123">
        <f t="shared" si="74"/>
        <v>17112.870000000003</v>
      </c>
      <c r="L1164" s="120">
        <f t="shared" si="73"/>
        <v>10199.270520000002</v>
      </c>
      <c r="M1164" t="s">
        <v>4140</v>
      </c>
    </row>
    <row r="1165" spans="2:13" x14ac:dyDescent="0.25">
      <c r="B1165" s="7" t="s">
        <v>3425</v>
      </c>
      <c r="C1165" s="7" t="s">
        <v>3749</v>
      </c>
      <c r="D1165" s="7" t="s">
        <v>146</v>
      </c>
      <c r="E1165" s="7" t="s">
        <v>3828</v>
      </c>
      <c r="F1165" s="7" t="s">
        <v>3747</v>
      </c>
      <c r="G1165" s="7"/>
      <c r="H1165" s="7"/>
      <c r="I1165" s="7"/>
      <c r="J1165" s="58">
        <v>15417</v>
      </c>
      <c r="K1165" s="123">
        <f t="shared" si="74"/>
        <v>17112.870000000003</v>
      </c>
      <c r="L1165" s="120">
        <f t="shared" si="73"/>
        <v>10199.270520000002</v>
      </c>
      <c r="M1165" t="s">
        <v>4140</v>
      </c>
    </row>
    <row r="1166" spans="2:13" x14ac:dyDescent="0.25">
      <c r="B1166" s="7" t="s">
        <v>3426</v>
      </c>
      <c r="C1166" s="7" t="s">
        <v>3749</v>
      </c>
      <c r="D1166" s="7" t="s">
        <v>156</v>
      </c>
      <c r="E1166" s="7" t="s">
        <v>3827</v>
      </c>
      <c r="F1166" s="7" t="s">
        <v>3747</v>
      </c>
      <c r="G1166" s="7"/>
      <c r="H1166" s="7"/>
      <c r="I1166" s="7"/>
      <c r="J1166" s="58">
        <v>15417</v>
      </c>
      <c r="K1166" s="123">
        <f t="shared" si="74"/>
        <v>17112.870000000003</v>
      </c>
      <c r="L1166" s="120">
        <f t="shared" si="73"/>
        <v>10199.270520000002</v>
      </c>
      <c r="M1166" t="s">
        <v>4140</v>
      </c>
    </row>
    <row r="1167" spans="2:13" x14ac:dyDescent="0.25">
      <c r="B1167" s="7" t="s">
        <v>3427</v>
      </c>
      <c r="C1167" s="7" t="s">
        <v>3749</v>
      </c>
      <c r="D1167" s="7" t="s">
        <v>148</v>
      </c>
      <c r="E1167" s="7" t="s">
        <v>3826</v>
      </c>
      <c r="F1167" s="7" t="s">
        <v>3747</v>
      </c>
      <c r="G1167" s="7"/>
      <c r="H1167" s="7"/>
      <c r="I1167" s="7"/>
      <c r="J1167" s="58">
        <v>15417</v>
      </c>
      <c r="K1167" s="123">
        <f t="shared" si="74"/>
        <v>17112.870000000003</v>
      </c>
      <c r="L1167" s="120">
        <f t="shared" si="73"/>
        <v>10199.270520000002</v>
      </c>
      <c r="M1167" t="s">
        <v>4140</v>
      </c>
    </row>
    <row r="1168" spans="2:13" x14ac:dyDescent="0.25">
      <c r="B1168" s="7" t="s">
        <v>3428</v>
      </c>
      <c r="C1168" s="7" t="s">
        <v>3749</v>
      </c>
      <c r="D1168" s="7" t="s">
        <v>149</v>
      </c>
      <c r="E1168" s="7" t="s">
        <v>3825</v>
      </c>
      <c r="F1168" s="7" t="s">
        <v>3747</v>
      </c>
      <c r="G1168" s="7"/>
      <c r="H1168" s="7"/>
      <c r="I1168" s="7"/>
      <c r="J1168" s="58">
        <v>15417</v>
      </c>
      <c r="K1168" s="123">
        <f t="shared" si="74"/>
        <v>17112.870000000003</v>
      </c>
      <c r="L1168" s="120">
        <f t="shared" si="73"/>
        <v>10199.270520000002</v>
      </c>
      <c r="M1168" t="s">
        <v>4140</v>
      </c>
    </row>
    <row r="1169" spans="1:13" x14ac:dyDescent="0.25">
      <c r="A1169" s="63" t="s">
        <v>3998</v>
      </c>
      <c r="B1169" s="121" t="s">
        <v>3995</v>
      </c>
      <c r="C1169" s="68"/>
      <c r="D1169" s="63"/>
      <c r="E1169" s="64"/>
      <c r="F1169" s="63"/>
      <c r="G1169" s="65"/>
      <c r="H1169" s="70"/>
      <c r="I1169" s="70"/>
      <c r="J1169" s="122"/>
      <c r="K1169" s="70"/>
      <c r="L1169" s="126"/>
    </row>
    <row r="1170" spans="1:13" x14ac:dyDescent="0.25">
      <c r="B1170" s="7" t="s">
        <v>3429</v>
      </c>
      <c r="C1170" s="7" t="s">
        <v>3750</v>
      </c>
      <c r="D1170" s="7" t="s">
        <v>145</v>
      </c>
      <c r="E1170" s="7" t="s">
        <v>3776</v>
      </c>
      <c r="F1170" s="7" t="s">
        <v>3744</v>
      </c>
      <c r="G1170" s="7"/>
      <c r="H1170" s="7"/>
      <c r="I1170" s="7"/>
      <c r="J1170" s="58">
        <v>13543</v>
      </c>
      <c r="K1170" s="58">
        <v>13543</v>
      </c>
      <c r="L1170" s="120">
        <f t="shared" si="73"/>
        <v>8071.6279999999997</v>
      </c>
      <c r="M1170" t="s">
        <v>4139</v>
      </c>
    </row>
    <row r="1171" spans="1:13" x14ac:dyDescent="0.25">
      <c r="B1171" s="7" t="s">
        <v>3430</v>
      </c>
      <c r="C1171" s="7" t="s">
        <v>3750</v>
      </c>
      <c r="D1171" s="7" t="s">
        <v>650</v>
      </c>
      <c r="E1171" s="7" t="s">
        <v>3843</v>
      </c>
      <c r="F1171" s="7" t="s">
        <v>3744</v>
      </c>
      <c r="G1171" s="7"/>
      <c r="H1171" s="7"/>
      <c r="I1171" s="7"/>
      <c r="J1171" s="58">
        <v>13543</v>
      </c>
      <c r="K1171" s="58">
        <v>13543</v>
      </c>
      <c r="L1171" s="120">
        <f t="shared" si="73"/>
        <v>8071.6279999999997</v>
      </c>
      <c r="M1171" t="s">
        <v>4139</v>
      </c>
    </row>
    <row r="1172" spans="1:13" x14ac:dyDescent="0.25">
      <c r="B1172" s="7" t="s">
        <v>3431</v>
      </c>
      <c r="C1172" s="7" t="s">
        <v>3750</v>
      </c>
      <c r="D1172" s="7" t="s">
        <v>651</v>
      </c>
      <c r="E1172" s="7" t="s">
        <v>3844</v>
      </c>
      <c r="F1172" s="7" t="s">
        <v>3744</v>
      </c>
      <c r="G1172" s="7"/>
      <c r="H1172" s="7"/>
      <c r="I1172" s="7"/>
      <c r="J1172" s="58">
        <v>17644</v>
      </c>
      <c r="K1172" s="58">
        <v>17644</v>
      </c>
      <c r="L1172" s="120">
        <f t="shared" si="73"/>
        <v>10515.823999999999</v>
      </c>
      <c r="M1172" t="s">
        <v>4139</v>
      </c>
    </row>
    <row r="1173" spans="1:13" x14ac:dyDescent="0.25">
      <c r="B1173" s="7" t="s">
        <v>3432</v>
      </c>
      <c r="C1173" s="7" t="s">
        <v>3750</v>
      </c>
      <c r="D1173" s="7" t="s">
        <v>652</v>
      </c>
      <c r="E1173" s="7" t="s">
        <v>3845</v>
      </c>
      <c r="F1173" s="7" t="s">
        <v>3744</v>
      </c>
      <c r="G1173" s="7"/>
      <c r="H1173" s="7"/>
      <c r="I1173" s="7"/>
      <c r="J1173" s="58">
        <v>17644</v>
      </c>
      <c r="K1173" s="58">
        <v>17644</v>
      </c>
      <c r="L1173" s="120">
        <f t="shared" si="73"/>
        <v>10515.823999999999</v>
      </c>
      <c r="M1173" t="s">
        <v>4139</v>
      </c>
    </row>
    <row r="1174" spans="1:13" x14ac:dyDescent="0.25">
      <c r="B1174" s="7" t="s">
        <v>3433</v>
      </c>
      <c r="C1174" s="7" t="s">
        <v>3750</v>
      </c>
      <c r="D1174" s="7" t="s">
        <v>653</v>
      </c>
      <c r="E1174" s="7" t="s">
        <v>3846</v>
      </c>
      <c r="F1174" s="7" t="s">
        <v>3744</v>
      </c>
      <c r="G1174" s="7"/>
      <c r="H1174" s="7"/>
      <c r="I1174" s="7"/>
      <c r="J1174" s="58">
        <v>17644</v>
      </c>
      <c r="K1174" s="58">
        <v>17644</v>
      </c>
      <c r="L1174" s="120">
        <f t="shared" si="73"/>
        <v>10515.823999999999</v>
      </c>
      <c r="M1174" t="s">
        <v>4139</v>
      </c>
    </row>
    <row r="1175" spans="1:13" x14ac:dyDescent="0.25">
      <c r="B1175" s="7" t="s">
        <v>3434</v>
      </c>
      <c r="C1175" s="7" t="s">
        <v>3750</v>
      </c>
      <c r="D1175" s="7" t="s">
        <v>654</v>
      </c>
      <c r="E1175" s="7" t="s">
        <v>3847</v>
      </c>
      <c r="F1175" s="7" t="s">
        <v>3744</v>
      </c>
      <c r="G1175" s="7"/>
      <c r="H1175" s="7"/>
      <c r="I1175" s="7"/>
      <c r="J1175" s="58">
        <v>17644</v>
      </c>
      <c r="K1175" s="58">
        <v>17644</v>
      </c>
      <c r="L1175" s="120">
        <f t="shared" si="73"/>
        <v>10515.823999999999</v>
      </c>
      <c r="M1175" t="s">
        <v>4139</v>
      </c>
    </row>
    <row r="1176" spans="1:13" x14ac:dyDescent="0.25">
      <c r="B1176" s="7" t="s">
        <v>3435</v>
      </c>
      <c r="C1176" s="7" t="s">
        <v>3750</v>
      </c>
      <c r="D1176" s="7" t="s">
        <v>655</v>
      </c>
      <c r="E1176" s="7" t="s">
        <v>3848</v>
      </c>
      <c r="F1176" s="7" t="s">
        <v>3744</v>
      </c>
      <c r="G1176" s="7"/>
      <c r="H1176" s="7"/>
      <c r="I1176" s="7"/>
      <c r="J1176" s="58">
        <v>17644</v>
      </c>
      <c r="K1176" s="58">
        <v>17644</v>
      </c>
      <c r="L1176" s="120">
        <f t="shared" si="73"/>
        <v>10515.823999999999</v>
      </c>
      <c r="M1176" t="s">
        <v>4139</v>
      </c>
    </row>
    <row r="1177" spans="1:13" x14ac:dyDescent="0.25">
      <c r="B1177" s="7" t="s">
        <v>3436</v>
      </c>
      <c r="C1177" s="7" t="s">
        <v>3750</v>
      </c>
      <c r="D1177" s="7" t="s">
        <v>656</v>
      </c>
      <c r="E1177" s="7" t="s">
        <v>3849</v>
      </c>
      <c r="F1177" s="7" t="s">
        <v>3744</v>
      </c>
      <c r="G1177" s="7"/>
      <c r="H1177" s="7"/>
      <c r="I1177" s="7"/>
      <c r="J1177" s="58">
        <v>17644</v>
      </c>
      <c r="K1177" s="58">
        <v>17644</v>
      </c>
      <c r="L1177" s="120">
        <f t="shared" si="73"/>
        <v>10515.823999999999</v>
      </c>
      <c r="M1177" t="s">
        <v>4139</v>
      </c>
    </row>
    <row r="1178" spans="1:13" x14ac:dyDescent="0.25">
      <c r="B1178" s="7" t="s">
        <v>3437</v>
      </c>
      <c r="C1178" s="7" t="s">
        <v>3750</v>
      </c>
      <c r="D1178" s="7" t="s">
        <v>657</v>
      </c>
      <c r="E1178" s="7" t="s">
        <v>3850</v>
      </c>
      <c r="F1178" s="7" t="s">
        <v>3744</v>
      </c>
      <c r="G1178" s="7"/>
      <c r="H1178" s="7"/>
      <c r="I1178" s="7"/>
      <c r="J1178" s="58">
        <v>17644</v>
      </c>
      <c r="K1178" s="58">
        <v>17644</v>
      </c>
      <c r="L1178" s="120">
        <f t="shared" si="73"/>
        <v>10515.823999999999</v>
      </c>
      <c r="M1178" t="s">
        <v>4139</v>
      </c>
    </row>
    <row r="1179" spans="1:13" x14ac:dyDescent="0.25">
      <c r="B1179" s="7" t="s">
        <v>3438</v>
      </c>
      <c r="C1179" s="7" t="s">
        <v>3750</v>
      </c>
      <c r="D1179" s="7" t="s">
        <v>658</v>
      </c>
      <c r="E1179" s="7" t="s">
        <v>3851</v>
      </c>
      <c r="F1179" s="7" t="s">
        <v>3744</v>
      </c>
      <c r="G1179" s="7"/>
      <c r="H1179" s="7"/>
      <c r="I1179" s="7"/>
      <c r="J1179" s="58">
        <v>17644</v>
      </c>
      <c r="K1179" s="58">
        <v>17644</v>
      </c>
      <c r="L1179" s="120">
        <f t="shared" si="73"/>
        <v>10515.823999999999</v>
      </c>
      <c r="M1179" t="s">
        <v>4139</v>
      </c>
    </row>
    <row r="1180" spans="1:13" x14ac:dyDescent="0.25">
      <c r="B1180" s="7" t="s">
        <v>3439</v>
      </c>
      <c r="C1180" s="7" t="s">
        <v>3750</v>
      </c>
      <c r="D1180" s="7" t="s">
        <v>659</v>
      </c>
      <c r="E1180" s="7" t="s">
        <v>3852</v>
      </c>
      <c r="F1180" s="7" t="s">
        <v>3744</v>
      </c>
      <c r="G1180" s="7"/>
      <c r="H1180" s="7"/>
      <c r="I1180" s="7"/>
      <c r="J1180" s="58">
        <v>17644</v>
      </c>
      <c r="K1180" s="58">
        <v>17644</v>
      </c>
      <c r="L1180" s="120">
        <f t="shared" si="73"/>
        <v>10515.823999999999</v>
      </c>
      <c r="M1180" t="s">
        <v>4139</v>
      </c>
    </row>
    <row r="1181" spans="1:13" x14ac:dyDescent="0.25">
      <c r="B1181" s="7" t="s">
        <v>3440</v>
      </c>
      <c r="C1181" s="7" t="s">
        <v>3750</v>
      </c>
      <c r="D1181" s="7" t="s">
        <v>660</v>
      </c>
      <c r="E1181" s="7" t="s">
        <v>3853</v>
      </c>
      <c r="F1181" s="7" t="s">
        <v>3744</v>
      </c>
      <c r="G1181" s="7"/>
      <c r="H1181" s="7"/>
      <c r="I1181" s="7"/>
      <c r="J1181" s="58">
        <v>17644</v>
      </c>
      <c r="K1181" s="58">
        <v>17644</v>
      </c>
      <c r="L1181" s="120">
        <f t="shared" ref="L1181:L1244" si="75">K1181*0.596</f>
        <v>10515.823999999999</v>
      </c>
      <c r="M1181" t="s">
        <v>4139</v>
      </c>
    </row>
    <row r="1182" spans="1:13" x14ac:dyDescent="0.25">
      <c r="B1182" s="7" t="s">
        <v>3441</v>
      </c>
      <c r="C1182" s="7" t="s">
        <v>3750</v>
      </c>
      <c r="D1182" s="7" t="s">
        <v>661</v>
      </c>
      <c r="E1182" s="7" t="s">
        <v>3869</v>
      </c>
      <c r="F1182" s="7" t="s">
        <v>3744</v>
      </c>
      <c r="G1182" s="7"/>
      <c r="H1182" s="7"/>
      <c r="I1182" s="7"/>
      <c r="J1182" s="58">
        <v>17644</v>
      </c>
      <c r="K1182" s="58">
        <v>17644</v>
      </c>
      <c r="L1182" s="120">
        <f t="shared" si="75"/>
        <v>10515.823999999999</v>
      </c>
      <c r="M1182" t="s">
        <v>4139</v>
      </c>
    </row>
    <row r="1183" spans="1:13" x14ac:dyDescent="0.25">
      <c r="B1183" s="7" t="s">
        <v>3442</v>
      </c>
      <c r="C1183" s="7" t="s">
        <v>3750</v>
      </c>
      <c r="D1183" s="7" t="s">
        <v>149</v>
      </c>
      <c r="E1183" s="7" t="s">
        <v>3787</v>
      </c>
      <c r="F1183" s="7" t="s">
        <v>3744</v>
      </c>
      <c r="G1183" s="7"/>
      <c r="H1183" s="7"/>
      <c r="I1183" s="7"/>
      <c r="J1183" s="58">
        <v>13543</v>
      </c>
      <c r="K1183" s="58">
        <v>13543</v>
      </c>
      <c r="L1183" s="120">
        <f t="shared" si="75"/>
        <v>8071.6279999999997</v>
      </c>
      <c r="M1183" t="s">
        <v>4139</v>
      </c>
    </row>
    <row r="1184" spans="1:13" x14ac:dyDescent="0.25">
      <c r="B1184" s="7" t="s">
        <v>3443</v>
      </c>
      <c r="C1184" s="7" t="s">
        <v>3750</v>
      </c>
      <c r="D1184" s="7" t="s">
        <v>662</v>
      </c>
      <c r="E1184" s="7" t="s">
        <v>3854</v>
      </c>
      <c r="F1184" s="7" t="s">
        <v>3744</v>
      </c>
      <c r="G1184" s="7"/>
      <c r="H1184" s="7"/>
      <c r="I1184" s="7"/>
      <c r="J1184" s="58">
        <v>13543</v>
      </c>
      <c r="K1184" s="58">
        <v>13543</v>
      </c>
      <c r="L1184" s="120">
        <f t="shared" si="75"/>
        <v>8071.6279999999997</v>
      </c>
      <c r="M1184" t="s">
        <v>4139</v>
      </c>
    </row>
    <row r="1185" spans="2:13" x14ac:dyDescent="0.25">
      <c r="B1185" s="7" t="s">
        <v>3444</v>
      </c>
      <c r="C1185" s="7" t="s">
        <v>3750</v>
      </c>
      <c r="D1185" s="7" t="s">
        <v>663</v>
      </c>
      <c r="E1185" s="7" t="s">
        <v>3855</v>
      </c>
      <c r="F1185" s="7" t="s">
        <v>3744</v>
      </c>
      <c r="G1185" s="7"/>
      <c r="H1185" s="7"/>
      <c r="I1185" s="7"/>
      <c r="J1185" s="58">
        <v>17644</v>
      </c>
      <c r="K1185" s="58">
        <v>17644</v>
      </c>
      <c r="L1185" s="120">
        <f t="shared" si="75"/>
        <v>10515.823999999999</v>
      </c>
      <c r="M1185" t="s">
        <v>4139</v>
      </c>
    </row>
    <row r="1186" spans="2:13" x14ac:dyDescent="0.25">
      <c r="B1186" s="7" t="s">
        <v>3445</v>
      </c>
      <c r="C1186" s="7" t="s">
        <v>3750</v>
      </c>
      <c r="D1186" s="7" t="s">
        <v>664</v>
      </c>
      <c r="E1186" s="7" t="s">
        <v>3856</v>
      </c>
      <c r="F1186" s="7" t="s">
        <v>3744</v>
      </c>
      <c r="G1186" s="7"/>
      <c r="H1186" s="7"/>
      <c r="I1186" s="7"/>
      <c r="J1186" s="58">
        <v>17644</v>
      </c>
      <c r="K1186" s="58">
        <v>17644</v>
      </c>
      <c r="L1186" s="120">
        <f t="shared" si="75"/>
        <v>10515.823999999999</v>
      </c>
      <c r="M1186" t="s">
        <v>4139</v>
      </c>
    </row>
    <row r="1187" spans="2:13" x14ac:dyDescent="0.25">
      <c r="B1187" s="7" t="s">
        <v>3446</v>
      </c>
      <c r="C1187" s="7" t="s">
        <v>3750</v>
      </c>
      <c r="D1187" s="7" t="s">
        <v>665</v>
      </c>
      <c r="E1187" s="7" t="s">
        <v>3857</v>
      </c>
      <c r="F1187" s="7" t="s">
        <v>3744</v>
      </c>
      <c r="G1187" s="7"/>
      <c r="H1187" s="7"/>
      <c r="I1187" s="7"/>
      <c r="J1187" s="58">
        <v>17644</v>
      </c>
      <c r="K1187" s="58">
        <v>17644</v>
      </c>
      <c r="L1187" s="120">
        <f t="shared" si="75"/>
        <v>10515.823999999999</v>
      </c>
      <c r="M1187" t="s">
        <v>4139</v>
      </c>
    </row>
    <row r="1188" spans="2:13" x14ac:dyDescent="0.25">
      <c r="B1188" s="7" t="s">
        <v>3447</v>
      </c>
      <c r="C1188" s="7" t="s">
        <v>3750</v>
      </c>
      <c r="D1188" s="7" t="s">
        <v>666</v>
      </c>
      <c r="E1188" s="7" t="s">
        <v>3858</v>
      </c>
      <c r="F1188" s="7" t="s">
        <v>3744</v>
      </c>
      <c r="G1188" s="7"/>
      <c r="H1188" s="7"/>
      <c r="I1188" s="7"/>
      <c r="J1188" s="58">
        <v>17644</v>
      </c>
      <c r="K1188" s="58">
        <v>17644</v>
      </c>
      <c r="L1188" s="120">
        <f t="shared" si="75"/>
        <v>10515.823999999999</v>
      </c>
      <c r="M1188" t="s">
        <v>4139</v>
      </c>
    </row>
    <row r="1189" spans="2:13" x14ac:dyDescent="0.25">
      <c r="B1189" s="7" t="s">
        <v>3448</v>
      </c>
      <c r="C1189" s="7" t="s">
        <v>3750</v>
      </c>
      <c r="D1189" s="7" t="s">
        <v>667</v>
      </c>
      <c r="E1189" s="7" t="s">
        <v>3859</v>
      </c>
      <c r="F1189" s="7" t="s">
        <v>3744</v>
      </c>
      <c r="G1189" s="7"/>
      <c r="H1189" s="7"/>
      <c r="I1189" s="7"/>
      <c r="J1189" s="58">
        <v>17644</v>
      </c>
      <c r="K1189" s="58">
        <v>17644</v>
      </c>
      <c r="L1189" s="120">
        <f t="shared" si="75"/>
        <v>10515.823999999999</v>
      </c>
      <c r="M1189" t="s">
        <v>4139</v>
      </c>
    </row>
    <row r="1190" spans="2:13" x14ac:dyDescent="0.25">
      <c r="B1190" s="7" t="s">
        <v>3449</v>
      </c>
      <c r="C1190" s="7" t="s">
        <v>3750</v>
      </c>
      <c r="D1190" s="7" t="s">
        <v>668</v>
      </c>
      <c r="E1190" s="7" t="s">
        <v>3860</v>
      </c>
      <c r="F1190" s="7" t="s">
        <v>3744</v>
      </c>
      <c r="G1190" s="7"/>
      <c r="H1190" s="7"/>
      <c r="I1190" s="7"/>
      <c r="J1190" s="58">
        <v>17644</v>
      </c>
      <c r="K1190" s="58">
        <v>17644</v>
      </c>
      <c r="L1190" s="120">
        <f t="shared" si="75"/>
        <v>10515.823999999999</v>
      </c>
      <c r="M1190" t="s">
        <v>4139</v>
      </c>
    </row>
    <row r="1191" spans="2:13" x14ac:dyDescent="0.25">
      <c r="B1191" s="7" t="s">
        <v>3450</v>
      </c>
      <c r="C1191" s="7" t="s">
        <v>3750</v>
      </c>
      <c r="D1191" s="7" t="s">
        <v>669</v>
      </c>
      <c r="E1191" s="7" t="s">
        <v>3861</v>
      </c>
      <c r="F1191" s="7" t="s">
        <v>3744</v>
      </c>
      <c r="G1191" s="7"/>
      <c r="H1191" s="7"/>
      <c r="I1191" s="7"/>
      <c r="J1191" s="58">
        <v>17644</v>
      </c>
      <c r="K1191" s="58">
        <v>17644</v>
      </c>
      <c r="L1191" s="120">
        <f t="shared" si="75"/>
        <v>10515.823999999999</v>
      </c>
      <c r="M1191" t="s">
        <v>4139</v>
      </c>
    </row>
    <row r="1192" spans="2:13" x14ac:dyDescent="0.25">
      <c r="B1192" s="7" t="s">
        <v>3451</v>
      </c>
      <c r="C1192" s="7" t="s">
        <v>3750</v>
      </c>
      <c r="D1192" s="7" t="s">
        <v>670</v>
      </c>
      <c r="E1192" s="7" t="s">
        <v>3862</v>
      </c>
      <c r="F1192" s="7" t="s">
        <v>3744</v>
      </c>
      <c r="G1192" s="7"/>
      <c r="H1192" s="7"/>
      <c r="I1192" s="7"/>
      <c r="J1192" s="58">
        <v>17644</v>
      </c>
      <c r="K1192" s="58">
        <v>17644</v>
      </c>
      <c r="L1192" s="120">
        <f t="shared" si="75"/>
        <v>10515.823999999999</v>
      </c>
      <c r="M1192" t="s">
        <v>4139</v>
      </c>
    </row>
    <row r="1193" spans="2:13" x14ac:dyDescent="0.25">
      <c r="B1193" s="7" t="s">
        <v>3452</v>
      </c>
      <c r="C1193" s="7" t="s">
        <v>3750</v>
      </c>
      <c r="D1193" s="7" t="s">
        <v>671</v>
      </c>
      <c r="E1193" s="7" t="s">
        <v>3863</v>
      </c>
      <c r="F1193" s="7" t="s">
        <v>3744</v>
      </c>
      <c r="G1193" s="7"/>
      <c r="H1193" s="7"/>
      <c r="I1193" s="7"/>
      <c r="J1193" s="58">
        <v>17644</v>
      </c>
      <c r="K1193" s="58">
        <v>17644</v>
      </c>
      <c r="L1193" s="120">
        <f t="shared" si="75"/>
        <v>10515.823999999999</v>
      </c>
      <c r="M1193" t="s">
        <v>4139</v>
      </c>
    </row>
    <row r="1194" spans="2:13" x14ac:dyDescent="0.25">
      <c r="B1194" s="7" t="s">
        <v>3453</v>
      </c>
      <c r="C1194" s="7" t="s">
        <v>3750</v>
      </c>
      <c r="D1194" s="7" t="s">
        <v>672</v>
      </c>
      <c r="E1194" s="7" t="s">
        <v>3864</v>
      </c>
      <c r="F1194" s="7" t="s">
        <v>3744</v>
      </c>
      <c r="G1194" s="7"/>
      <c r="H1194" s="7"/>
      <c r="I1194" s="7"/>
      <c r="J1194" s="58">
        <v>17644</v>
      </c>
      <c r="K1194" s="58">
        <v>17644</v>
      </c>
      <c r="L1194" s="120">
        <f t="shared" si="75"/>
        <v>10515.823999999999</v>
      </c>
      <c r="M1194" t="s">
        <v>4139</v>
      </c>
    </row>
    <row r="1195" spans="2:13" x14ac:dyDescent="0.25">
      <c r="B1195" s="7" t="s">
        <v>3454</v>
      </c>
      <c r="C1195" s="7" t="s">
        <v>3750</v>
      </c>
      <c r="D1195" s="7" t="s">
        <v>673</v>
      </c>
      <c r="E1195" s="7" t="s">
        <v>3870</v>
      </c>
      <c r="F1195" s="7" t="s">
        <v>3744</v>
      </c>
      <c r="G1195" s="7"/>
      <c r="H1195" s="7"/>
      <c r="I1195" s="7"/>
      <c r="J1195" s="58">
        <v>17644</v>
      </c>
      <c r="K1195" s="58">
        <v>17644</v>
      </c>
      <c r="L1195" s="120">
        <f t="shared" si="75"/>
        <v>10515.823999999999</v>
      </c>
      <c r="M1195" t="s">
        <v>4139</v>
      </c>
    </row>
    <row r="1196" spans="2:13" x14ac:dyDescent="0.25">
      <c r="B1196" s="7" t="s">
        <v>3455</v>
      </c>
      <c r="C1196" s="7" t="s">
        <v>3750</v>
      </c>
      <c r="D1196" s="7" t="s">
        <v>674</v>
      </c>
      <c r="E1196" s="7" t="s">
        <v>3865</v>
      </c>
      <c r="F1196" s="7" t="s">
        <v>3744</v>
      </c>
      <c r="G1196" s="7"/>
      <c r="H1196" s="7"/>
      <c r="I1196" s="7"/>
      <c r="J1196" s="58">
        <v>13543</v>
      </c>
      <c r="K1196" s="58">
        <v>13543</v>
      </c>
      <c r="L1196" s="120">
        <f t="shared" si="75"/>
        <v>8071.6279999999997</v>
      </c>
      <c r="M1196" t="s">
        <v>4139</v>
      </c>
    </row>
    <row r="1197" spans="2:13" x14ac:dyDescent="0.25">
      <c r="B1197" s="7" t="s">
        <v>3456</v>
      </c>
      <c r="C1197" s="7" t="s">
        <v>3750</v>
      </c>
      <c r="D1197" s="7" t="s">
        <v>675</v>
      </c>
      <c r="E1197" s="7" t="s">
        <v>3866</v>
      </c>
      <c r="F1197" s="7" t="s">
        <v>3744</v>
      </c>
      <c r="G1197" s="7"/>
      <c r="H1197" s="7"/>
      <c r="I1197" s="7"/>
      <c r="J1197" s="58">
        <v>13543</v>
      </c>
      <c r="K1197" s="58">
        <v>13543</v>
      </c>
      <c r="L1197" s="120">
        <f t="shared" si="75"/>
        <v>8071.6279999999997</v>
      </c>
      <c r="M1197" t="s">
        <v>4139</v>
      </c>
    </row>
    <row r="1198" spans="2:13" x14ac:dyDescent="0.25">
      <c r="B1198" s="7" t="s">
        <v>3457</v>
      </c>
      <c r="C1198" s="7" t="s">
        <v>3750</v>
      </c>
      <c r="D1198" s="7" t="s">
        <v>676</v>
      </c>
      <c r="E1198" s="7" t="s">
        <v>3867</v>
      </c>
      <c r="F1198" s="7" t="s">
        <v>3744</v>
      </c>
      <c r="G1198" s="7"/>
      <c r="H1198" s="7"/>
      <c r="I1198" s="7"/>
      <c r="J1198" s="58">
        <v>17644</v>
      </c>
      <c r="K1198" s="58">
        <v>17644</v>
      </c>
      <c r="L1198" s="120">
        <f t="shared" si="75"/>
        <v>10515.823999999999</v>
      </c>
      <c r="M1198" t="s">
        <v>4139</v>
      </c>
    </row>
    <row r="1199" spans="2:13" x14ac:dyDescent="0.25">
      <c r="B1199" s="7" t="s">
        <v>3458</v>
      </c>
      <c r="C1199" s="7" t="s">
        <v>3750</v>
      </c>
      <c r="D1199" s="7" t="s">
        <v>677</v>
      </c>
      <c r="E1199" s="7" t="s">
        <v>3868</v>
      </c>
      <c r="F1199" s="7" t="s">
        <v>3744</v>
      </c>
      <c r="G1199" s="7"/>
      <c r="H1199" s="7"/>
      <c r="I1199" s="7"/>
      <c r="J1199" s="58">
        <v>17644</v>
      </c>
      <c r="K1199" s="58">
        <v>17644</v>
      </c>
      <c r="L1199" s="120">
        <f t="shared" si="75"/>
        <v>10515.823999999999</v>
      </c>
      <c r="M1199" t="s">
        <v>4139</v>
      </c>
    </row>
    <row r="1200" spans="2:13" x14ac:dyDescent="0.25">
      <c r="B1200" s="7" t="s">
        <v>3459</v>
      </c>
      <c r="C1200" s="7" t="s">
        <v>3750</v>
      </c>
      <c r="D1200" s="7" t="s">
        <v>678</v>
      </c>
      <c r="E1200" s="7" t="s">
        <v>3871</v>
      </c>
      <c r="F1200" s="7" t="s">
        <v>3744</v>
      </c>
      <c r="G1200" s="7"/>
      <c r="H1200" s="7"/>
      <c r="I1200" s="7"/>
      <c r="J1200" s="58">
        <v>17644</v>
      </c>
      <c r="K1200" s="58">
        <v>17644</v>
      </c>
      <c r="L1200" s="120">
        <f t="shared" si="75"/>
        <v>10515.823999999999</v>
      </c>
      <c r="M1200" t="s">
        <v>4139</v>
      </c>
    </row>
    <row r="1201" spans="2:13" x14ac:dyDescent="0.25">
      <c r="B1201" s="7" t="s">
        <v>3460</v>
      </c>
      <c r="C1201" s="7" t="s">
        <v>3750</v>
      </c>
      <c r="D1201" s="7" t="s">
        <v>679</v>
      </c>
      <c r="E1201" s="7" t="s">
        <v>3872</v>
      </c>
      <c r="F1201" s="7" t="s">
        <v>3744</v>
      </c>
      <c r="G1201" s="7"/>
      <c r="H1201" s="7"/>
      <c r="I1201" s="7"/>
      <c r="J1201" s="58">
        <v>17644</v>
      </c>
      <c r="K1201" s="58">
        <v>17644</v>
      </c>
      <c r="L1201" s="120">
        <f t="shared" si="75"/>
        <v>10515.823999999999</v>
      </c>
      <c r="M1201" t="s">
        <v>4139</v>
      </c>
    </row>
    <row r="1202" spans="2:13" x14ac:dyDescent="0.25">
      <c r="B1202" s="7" t="s">
        <v>3461</v>
      </c>
      <c r="C1202" s="7" t="s">
        <v>3750</v>
      </c>
      <c r="D1202" s="7" t="s">
        <v>680</v>
      </c>
      <c r="E1202" s="7" t="s">
        <v>3873</v>
      </c>
      <c r="F1202" s="7" t="s">
        <v>3744</v>
      </c>
      <c r="G1202" s="7"/>
      <c r="H1202" s="7"/>
      <c r="I1202" s="7"/>
      <c r="J1202" s="58">
        <v>17644</v>
      </c>
      <c r="K1202" s="58">
        <v>17644</v>
      </c>
      <c r="L1202" s="120">
        <f t="shared" si="75"/>
        <v>10515.823999999999</v>
      </c>
      <c r="M1202" t="s">
        <v>4139</v>
      </c>
    </row>
    <row r="1203" spans="2:13" x14ac:dyDescent="0.25">
      <c r="B1203" s="7" t="s">
        <v>3462</v>
      </c>
      <c r="C1203" s="7" t="s">
        <v>3750</v>
      </c>
      <c r="D1203" s="7" t="s">
        <v>681</v>
      </c>
      <c r="E1203" s="7" t="s">
        <v>3874</v>
      </c>
      <c r="F1203" s="7" t="s">
        <v>3744</v>
      </c>
      <c r="G1203" s="7"/>
      <c r="H1203" s="7"/>
      <c r="I1203" s="7"/>
      <c r="J1203" s="58">
        <v>17644</v>
      </c>
      <c r="K1203" s="58">
        <v>17644</v>
      </c>
      <c r="L1203" s="120">
        <f t="shared" si="75"/>
        <v>10515.823999999999</v>
      </c>
      <c r="M1203" t="s">
        <v>4139</v>
      </c>
    </row>
    <row r="1204" spans="2:13" x14ac:dyDescent="0.25">
      <c r="B1204" s="7" t="s">
        <v>3463</v>
      </c>
      <c r="C1204" s="7" t="s">
        <v>3750</v>
      </c>
      <c r="D1204" s="7" t="s">
        <v>682</v>
      </c>
      <c r="E1204" s="7" t="s">
        <v>3875</v>
      </c>
      <c r="F1204" s="7" t="s">
        <v>3744</v>
      </c>
      <c r="G1204" s="7"/>
      <c r="H1204" s="7"/>
      <c r="I1204" s="7"/>
      <c r="J1204" s="58">
        <v>17644</v>
      </c>
      <c r="K1204" s="58">
        <v>17644</v>
      </c>
      <c r="L1204" s="120">
        <f t="shared" si="75"/>
        <v>10515.823999999999</v>
      </c>
      <c r="M1204" t="s">
        <v>4139</v>
      </c>
    </row>
    <row r="1205" spans="2:13" x14ac:dyDescent="0.25">
      <c r="B1205" s="7" t="s">
        <v>3464</v>
      </c>
      <c r="C1205" s="7" t="s">
        <v>3750</v>
      </c>
      <c r="D1205" s="7" t="s">
        <v>683</v>
      </c>
      <c r="E1205" s="7" t="s">
        <v>3876</v>
      </c>
      <c r="F1205" s="7" t="s">
        <v>3744</v>
      </c>
      <c r="G1205" s="7"/>
      <c r="H1205" s="7"/>
      <c r="I1205" s="7"/>
      <c r="J1205" s="58">
        <v>17644</v>
      </c>
      <c r="K1205" s="58">
        <v>17644</v>
      </c>
      <c r="L1205" s="120">
        <f t="shared" si="75"/>
        <v>10515.823999999999</v>
      </c>
      <c r="M1205" t="s">
        <v>4139</v>
      </c>
    </row>
    <row r="1206" spans="2:13" x14ac:dyDescent="0.25">
      <c r="B1206" s="7" t="s">
        <v>3465</v>
      </c>
      <c r="C1206" s="7" t="s">
        <v>3750</v>
      </c>
      <c r="D1206" s="7" t="s">
        <v>684</v>
      </c>
      <c r="E1206" s="7" t="s">
        <v>3877</v>
      </c>
      <c r="F1206" s="7" t="s">
        <v>3744</v>
      </c>
      <c r="G1206" s="7"/>
      <c r="H1206" s="7"/>
      <c r="I1206" s="7"/>
      <c r="J1206" s="58">
        <v>17644</v>
      </c>
      <c r="K1206" s="58">
        <v>17644</v>
      </c>
      <c r="L1206" s="120">
        <f t="shared" si="75"/>
        <v>10515.823999999999</v>
      </c>
      <c r="M1206" t="s">
        <v>4139</v>
      </c>
    </row>
    <row r="1207" spans="2:13" x14ac:dyDescent="0.25">
      <c r="B1207" s="7" t="s">
        <v>3466</v>
      </c>
      <c r="C1207" s="7" t="s">
        <v>3750</v>
      </c>
      <c r="D1207" s="7" t="s">
        <v>685</v>
      </c>
      <c r="E1207" s="7" t="s">
        <v>3878</v>
      </c>
      <c r="F1207" s="7" t="s">
        <v>3744</v>
      </c>
      <c r="G1207" s="7"/>
      <c r="H1207" s="7"/>
      <c r="I1207" s="7"/>
      <c r="J1207" s="58">
        <v>17644</v>
      </c>
      <c r="K1207" s="58">
        <v>17644</v>
      </c>
      <c r="L1207" s="120">
        <f t="shared" si="75"/>
        <v>10515.823999999999</v>
      </c>
      <c r="M1207" t="s">
        <v>4139</v>
      </c>
    </row>
    <row r="1208" spans="2:13" x14ac:dyDescent="0.25">
      <c r="B1208" s="7" t="s">
        <v>3467</v>
      </c>
      <c r="C1208" s="7" t="s">
        <v>3750</v>
      </c>
      <c r="D1208" s="7" t="s">
        <v>686</v>
      </c>
      <c r="E1208" s="7" t="s">
        <v>3879</v>
      </c>
      <c r="F1208" s="7" t="s">
        <v>3744</v>
      </c>
      <c r="G1208" s="7"/>
      <c r="H1208" s="7"/>
      <c r="I1208" s="7"/>
      <c r="J1208" s="58">
        <v>17644</v>
      </c>
      <c r="K1208" s="58">
        <v>17644</v>
      </c>
      <c r="L1208" s="120">
        <f t="shared" si="75"/>
        <v>10515.823999999999</v>
      </c>
      <c r="M1208" t="s">
        <v>4139</v>
      </c>
    </row>
    <row r="1209" spans="2:13" x14ac:dyDescent="0.25">
      <c r="B1209" s="7" t="s">
        <v>3468</v>
      </c>
      <c r="C1209" s="7" t="s">
        <v>3750</v>
      </c>
      <c r="D1209" s="7" t="s">
        <v>687</v>
      </c>
      <c r="E1209" s="7" t="s">
        <v>3880</v>
      </c>
      <c r="F1209" s="7" t="s">
        <v>3744</v>
      </c>
      <c r="G1209" s="7"/>
      <c r="H1209" s="7"/>
      <c r="I1209" s="7"/>
      <c r="J1209" s="58">
        <v>13543</v>
      </c>
      <c r="K1209" s="58">
        <v>13543</v>
      </c>
      <c r="L1209" s="120">
        <f t="shared" si="75"/>
        <v>8071.6279999999997</v>
      </c>
      <c r="M1209" t="s">
        <v>4139</v>
      </c>
    </row>
    <row r="1210" spans="2:13" x14ac:dyDescent="0.25">
      <c r="B1210" s="7" t="s">
        <v>3469</v>
      </c>
      <c r="C1210" s="7" t="s">
        <v>3750</v>
      </c>
      <c r="D1210" s="7" t="s">
        <v>688</v>
      </c>
      <c r="E1210" s="7" t="s">
        <v>3881</v>
      </c>
      <c r="F1210" s="7" t="s">
        <v>3744</v>
      </c>
      <c r="G1210" s="7"/>
      <c r="H1210" s="7"/>
      <c r="I1210" s="7"/>
      <c r="J1210" s="58">
        <v>13543</v>
      </c>
      <c r="K1210" s="58">
        <v>13543</v>
      </c>
      <c r="L1210" s="120">
        <f t="shared" si="75"/>
        <v>8071.6279999999997</v>
      </c>
      <c r="M1210" t="s">
        <v>4139</v>
      </c>
    </row>
    <row r="1211" spans="2:13" x14ac:dyDescent="0.25">
      <c r="B1211" s="7" t="s">
        <v>3470</v>
      </c>
      <c r="C1211" s="7" t="s">
        <v>3750</v>
      </c>
      <c r="D1211" s="7" t="s">
        <v>689</v>
      </c>
      <c r="E1211" s="7" t="s">
        <v>3882</v>
      </c>
      <c r="F1211" s="7" t="s">
        <v>3744</v>
      </c>
      <c r="G1211" s="7"/>
      <c r="H1211" s="7"/>
      <c r="I1211" s="7"/>
      <c r="J1211" s="58">
        <v>17644</v>
      </c>
      <c r="K1211" s="58">
        <v>17644</v>
      </c>
      <c r="L1211" s="120">
        <f t="shared" si="75"/>
        <v>10515.823999999999</v>
      </c>
      <c r="M1211" t="s">
        <v>4139</v>
      </c>
    </row>
    <row r="1212" spans="2:13" x14ac:dyDescent="0.25">
      <c r="B1212" s="7" t="s">
        <v>3471</v>
      </c>
      <c r="C1212" s="7" t="s">
        <v>3750</v>
      </c>
      <c r="D1212" s="7" t="s">
        <v>690</v>
      </c>
      <c r="E1212" s="7" t="s">
        <v>3883</v>
      </c>
      <c r="F1212" s="7" t="s">
        <v>3744</v>
      </c>
      <c r="G1212" s="7"/>
      <c r="H1212" s="7"/>
      <c r="I1212" s="7"/>
      <c r="J1212" s="58">
        <v>17644</v>
      </c>
      <c r="K1212" s="58">
        <v>17644</v>
      </c>
      <c r="L1212" s="120">
        <f t="shared" si="75"/>
        <v>10515.823999999999</v>
      </c>
      <c r="M1212" t="s">
        <v>4139</v>
      </c>
    </row>
    <row r="1213" spans="2:13" x14ac:dyDescent="0.25">
      <c r="B1213" s="7" t="s">
        <v>3472</v>
      </c>
      <c r="C1213" s="7" t="s">
        <v>3750</v>
      </c>
      <c r="D1213" s="7" t="s">
        <v>691</v>
      </c>
      <c r="E1213" s="7" t="s">
        <v>3884</v>
      </c>
      <c r="F1213" s="7" t="s">
        <v>3744</v>
      </c>
      <c r="G1213" s="7"/>
      <c r="H1213" s="7"/>
      <c r="I1213" s="7"/>
      <c r="J1213" s="58">
        <v>17644</v>
      </c>
      <c r="K1213" s="58">
        <v>17644</v>
      </c>
      <c r="L1213" s="120">
        <f t="shared" si="75"/>
        <v>10515.823999999999</v>
      </c>
      <c r="M1213" t="s">
        <v>4139</v>
      </c>
    </row>
    <row r="1214" spans="2:13" x14ac:dyDescent="0.25">
      <c r="B1214" s="7" t="s">
        <v>3473</v>
      </c>
      <c r="C1214" s="7" t="s">
        <v>3750</v>
      </c>
      <c r="D1214" s="7" t="s">
        <v>692</v>
      </c>
      <c r="E1214" s="7" t="s">
        <v>3885</v>
      </c>
      <c r="F1214" s="7" t="s">
        <v>3744</v>
      </c>
      <c r="G1214" s="7"/>
      <c r="H1214" s="7"/>
      <c r="I1214" s="7"/>
      <c r="J1214" s="58">
        <v>17644</v>
      </c>
      <c r="K1214" s="58">
        <v>17644</v>
      </c>
      <c r="L1214" s="120">
        <f t="shared" si="75"/>
        <v>10515.823999999999</v>
      </c>
      <c r="M1214" t="s">
        <v>4139</v>
      </c>
    </row>
    <row r="1215" spans="2:13" x14ac:dyDescent="0.25">
      <c r="B1215" s="7" t="s">
        <v>3474</v>
      </c>
      <c r="C1215" s="7" t="s">
        <v>3750</v>
      </c>
      <c r="D1215" s="7" t="s">
        <v>693</v>
      </c>
      <c r="E1215" s="7" t="s">
        <v>3886</v>
      </c>
      <c r="F1215" s="7" t="s">
        <v>3744</v>
      </c>
      <c r="G1215" s="7"/>
      <c r="H1215" s="7"/>
      <c r="I1215" s="7"/>
      <c r="J1215" s="58">
        <v>17644</v>
      </c>
      <c r="K1215" s="58">
        <v>17644</v>
      </c>
      <c r="L1215" s="120">
        <f t="shared" si="75"/>
        <v>10515.823999999999</v>
      </c>
      <c r="M1215" t="s">
        <v>4139</v>
      </c>
    </row>
    <row r="1216" spans="2:13" x14ac:dyDescent="0.25">
      <c r="B1216" s="7" t="s">
        <v>3475</v>
      </c>
      <c r="C1216" s="7" t="s">
        <v>3750</v>
      </c>
      <c r="D1216" s="7" t="s">
        <v>694</v>
      </c>
      <c r="E1216" s="7" t="s">
        <v>3887</v>
      </c>
      <c r="F1216" s="7" t="s">
        <v>3744</v>
      </c>
      <c r="G1216" s="7"/>
      <c r="H1216" s="7"/>
      <c r="I1216" s="7"/>
      <c r="J1216" s="58">
        <v>17644</v>
      </c>
      <c r="K1216" s="58">
        <v>17644</v>
      </c>
      <c r="L1216" s="120">
        <f t="shared" si="75"/>
        <v>10515.823999999999</v>
      </c>
      <c r="M1216" t="s">
        <v>4139</v>
      </c>
    </row>
    <row r="1217" spans="1:13" x14ac:dyDescent="0.25">
      <c r="B1217" s="7" t="s">
        <v>3476</v>
      </c>
      <c r="C1217" s="7" t="s">
        <v>3750</v>
      </c>
      <c r="D1217" s="7" t="s">
        <v>695</v>
      </c>
      <c r="E1217" s="7" t="s">
        <v>3888</v>
      </c>
      <c r="F1217" s="7" t="s">
        <v>3744</v>
      </c>
      <c r="G1217" s="7"/>
      <c r="H1217" s="7"/>
      <c r="I1217" s="7"/>
      <c r="J1217" s="58">
        <v>17644</v>
      </c>
      <c r="K1217" s="58">
        <v>17644</v>
      </c>
      <c r="L1217" s="120">
        <f t="shared" si="75"/>
        <v>10515.823999999999</v>
      </c>
      <c r="M1217" t="s">
        <v>4139</v>
      </c>
    </row>
    <row r="1218" spans="1:13" x14ac:dyDescent="0.25">
      <c r="B1218" s="7" t="s">
        <v>3477</v>
      </c>
      <c r="C1218" s="7" t="s">
        <v>3750</v>
      </c>
      <c r="D1218" s="7" t="s">
        <v>696</v>
      </c>
      <c r="E1218" s="7" t="s">
        <v>3889</v>
      </c>
      <c r="F1218" s="7" t="s">
        <v>3744</v>
      </c>
      <c r="G1218" s="7"/>
      <c r="H1218" s="7"/>
      <c r="I1218" s="7"/>
      <c r="J1218" s="58">
        <v>17644</v>
      </c>
      <c r="K1218" s="58">
        <v>17644</v>
      </c>
      <c r="L1218" s="120">
        <f t="shared" si="75"/>
        <v>10515.823999999999</v>
      </c>
      <c r="M1218" t="s">
        <v>4139</v>
      </c>
    </row>
    <row r="1219" spans="1:13" x14ac:dyDescent="0.25">
      <c r="B1219" s="7" t="s">
        <v>3478</v>
      </c>
      <c r="C1219" s="7" t="s">
        <v>3750</v>
      </c>
      <c r="D1219" s="7" t="s">
        <v>697</v>
      </c>
      <c r="E1219" s="7" t="s">
        <v>3890</v>
      </c>
      <c r="F1219" s="7" t="s">
        <v>3744</v>
      </c>
      <c r="G1219" s="7"/>
      <c r="H1219" s="7"/>
      <c r="I1219" s="7"/>
      <c r="J1219" s="58">
        <v>17644</v>
      </c>
      <c r="K1219" s="58">
        <v>17644</v>
      </c>
      <c r="L1219" s="120">
        <f t="shared" si="75"/>
        <v>10515.823999999999</v>
      </c>
      <c r="M1219" t="s">
        <v>4139</v>
      </c>
    </row>
    <row r="1220" spans="1:13" x14ac:dyDescent="0.25">
      <c r="B1220" s="7" t="s">
        <v>3479</v>
      </c>
      <c r="C1220" s="7" t="s">
        <v>3750</v>
      </c>
      <c r="D1220" s="7" t="s">
        <v>698</v>
      </c>
      <c r="E1220" s="7" t="s">
        <v>3891</v>
      </c>
      <c r="F1220" s="7" t="s">
        <v>3744</v>
      </c>
      <c r="G1220" s="7"/>
      <c r="H1220" s="7"/>
      <c r="I1220" s="7"/>
      <c r="J1220" s="58">
        <v>17644</v>
      </c>
      <c r="K1220" s="58">
        <v>17644</v>
      </c>
      <c r="L1220" s="120">
        <f t="shared" si="75"/>
        <v>10515.823999999999</v>
      </c>
      <c r="M1220" t="s">
        <v>4139</v>
      </c>
    </row>
    <row r="1221" spans="1:13" x14ac:dyDescent="0.25">
      <c r="B1221" s="7" t="s">
        <v>3480</v>
      </c>
      <c r="C1221" s="7" t="s">
        <v>3750</v>
      </c>
      <c r="D1221" s="7" t="s">
        <v>699</v>
      </c>
      <c r="E1221" s="7" t="s">
        <v>3892</v>
      </c>
      <c r="F1221" s="7" t="s">
        <v>3744</v>
      </c>
      <c r="G1221" s="7"/>
      <c r="H1221" s="7"/>
      <c r="I1221" s="7"/>
      <c r="J1221" s="58">
        <v>17644</v>
      </c>
      <c r="K1221" s="58">
        <v>17644</v>
      </c>
      <c r="L1221" s="120">
        <f t="shared" si="75"/>
        <v>10515.823999999999</v>
      </c>
      <c r="M1221" t="s">
        <v>4139</v>
      </c>
    </row>
    <row r="1222" spans="1:13" x14ac:dyDescent="0.25">
      <c r="A1222" s="63" t="s">
        <v>3998</v>
      </c>
      <c r="B1222" s="121" t="s">
        <v>3994</v>
      </c>
      <c r="C1222" s="68"/>
      <c r="D1222" s="63"/>
      <c r="E1222" s="64"/>
      <c r="F1222" s="63"/>
      <c r="G1222" s="65"/>
      <c r="H1222" s="70"/>
      <c r="I1222" s="70"/>
      <c r="J1222" s="122"/>
      <c r="K1222" s="70"/>
      <c r="L1222" s="126"/>
    </row>
    <row r="1223" spans="1:13" x14ac:dyDescent="0.25">
      <c r="B1223" s="7" t="s">
        <v>3481</v>
      </c>
      <c r="C1223" s="7" t="s">
        <v>3751</v>
      </c>
      <c r="D1223" s="7" t="s">
        <v>145</v>
      </c>
      <c r="E1223" s="7" t="s">
        <v>3776</v>
      </c>
      <c r="F1223" s="7" t="s">
        <v>3747</v>
      </c>
      <c r="G1223" s="7"/>
      <c r="H1223" s="7"/>
      <c r="I1223" s="7"/>
      <c r="J1223" s="58">
        <v>15019</v>
      </c>
      <c r="K1223" s="123">
        <f>J1223*1.11</f>
        <v>16671.09</v>
      </c>
      <c r="L1223" s="120">
        <f t="shared" si="75"/>
        <v>9935.9696399999993</v>
      </c>
      <c r="M1223" t="s">
        <v>4140</v>
      </c>
    </row>
    <row r="1224" spans="1:13" x14ac:dyDescent="0.25">
      <c r="B1224" s="7" t="s">
        <v>3482</v>
      </c>
      <c r="C1224" s="7" t="s">
        <v>3751</v>
      </c>
      <c r="D1224" s="7" t="s">
        <v>650</v>
      </c>
      <c r="E1224" s="7" t="s">
        <v>3843</v>
      </c>
      <c r="F1224" s="7" t="s">
        <v>3747</v>
      </c>
      <c r="G1224" s="7"/>
      <c r="H1224" s="7"/>
      <c r="I1224" s="7"/>
      <c r="J1224" s="58">
        <v>15019</v>
      </c>
      <c r="K1224" s="123">
        <f t="shared" ref="K1224:K1274" si="76">J1224*1.11</f>
        <v>16671.09</v>
      </c>
      <c r="L1224" s="120">
        <f t="shared" si="75"/>
        <v>9935.9696399999993</v>
      </c>
      <c r="M1224" t="s">
        <v>4140</v>
      </c>
    </row>
    <row r="1225" spans="1:13" x14ac:dyDescent="0.25">
      <c r="B1225" s="7" t="s">
        <v>3483</v>
      </c>
      <c r="C1225" s="7" t="s">
        <v>3751</v>
      </c>
      <c r="D1225" s="7" t="s">
        <v>651</v>
      </c>
      <c r="E1225" s="7" t="s">
        <v>3844</v>
      </c>
      <c r="F1225" s="7" t="s">
        <v>3747</v>
      </c>
      <c r="G1225" s="7"/>
      <c r="H1225" s="7"/>
      <c r="I1225" s="7"/>
      <c r="J1225" s="58">
        <v>19529</v>
      </c>
      <c r="K1225" s="123">
        <f t="shared" si="76"/>
        <v>21677.190000000002</v>
      </c>
      <c r="L1225" s="120">
        <f t="shared" si="75"/>
        <v>12919.605240000001</v>
      </c>
      <c r="M1225" t="s">
        <v>4140</v>
      </c>
    </row>
    <row r="1226" spans="1:13" x14ac:dyDescent="0.25">
      <c r="B1226" s="7" t="s">
        <v>3484</v>
      </c>
      <c r="C1226" s="7" t="s">
        <v>3751</v>
      </c>
      <c r="D1226" s="7" t="s">
        <v>652</v>
      </c>
      <c r="E1226" s="7" t="s">
        <v>3845</v>
      </c>
      <c r="F1226" s="7" t="s">
        <v>3747</v>
      </c>
      <c r="G1226" s="7"/>
      <c r="H1226" s="7"/>
      <c r="I1226" s="7"/>
      <c r="J1226" s="58">
        <v>19529</v>
      </c>
      <c r="K1226" s="123">
        <f t="shared" si="76"/>
        <v>21677.190000000002</v>
      </c>
      <c r="L1226" s="120">
        <f t="shared" si="75"/>
        <v>12919.605240000001</v>
      </c>
      <c r="M1226" t="s">
        <v>4140</v>
      </c>
    </row>
    <row r="1227" spans="1:13" x14ac:dyDescent="0.25">
      <c r="B1227" s="7" t="s">
        <v>3485</v>
      </c>
      <c r="C1227" s="7" t="s">
        <v>3751</v>
      </c>
      <c r="D1227" s="7" t="s">
        <v>653</v>
      </c>
      <c r="E1227" s="7" t="s">
        <v>3846</v>
      </c>
      <c r="F1227" s="7" t="s">
        <v>3747</v>
      </c>
      <c r="G1227" s="7"/>
      <c r="H1227" s="7"/>
      <c r="I1227" s="7"/>
      <c r="J1227" s="58">
        <v>19529</v>
      </c>
      <c r="K1227" s="123">
        <f t="shared" si="76"/>
        <v>21677.190000000002</v>
      </c>
      <c r="L1227" s="120">
        <f t="shared" si="75"/>
        <v>12919.605240000001</v>
      </c>
      <c r="M1227" t="s">
        <v>4140</v>
      </c>
    </row>
    <row r="1228" spans="1:13" x14ac:dyDescent="0.25">
      <c r="B1228" s="7" t="s">
        <v>3486</v>
      </c>
      <c r="C1228" s="7" t="s">
        <v>3751</v>
      </c>
      <c r="D1228" s="7" t="s">
        <v>654</v>
      </c>
      <c r="E1228" s="7" t="s">
        <v>3847</v>
      </c>
      <c r="F1228" s="7" t="s">
        <v>3747</v>
      </c>
      <c r="G1228" s="7"/>
      <c r="H1228" s="7"/>
      <c r="I1228" s="7"/>
      <c r="J1228" s="58">
        <v>19529</v>
      </c>
      <c r="K1228" s="123">
        <f t="shared" si="76"/>
        <v>21677.190000000002</v>
      </c>
      <c r="L1228" s="120">
        <f t="shared" si="75"/>
        <v>12919.605240000001</v>
      </c>
      <c r="M1228" t="s">
        <v>4140</v>
      </c>
    </row>
    <row r="1229" spans="1:13" x14ac:dyDescent="0.25">
      <c r="B1229" s="7" t="s">
        <v>3487</v>
      </c>
      <c r="C1229" s="7" t="s">
        <v>3751</v>
      </c>
      <c r="D1229" s="7" t="s">
        <v>655</v>
      </c>
      <c r="E1229" s="7" t="s">
        <v>3848</v>
      </c>
      <c r="F1229" s="7" t="s">
        <v>3747</v>
      </c>
      <c r="G1229" s="7"/>
      <c r="H1229" s="7"/>
      <c r="I1229" s="7"/>
      <c r="J1229" s="58">
        <v>19529</v>
      </c>
      <c r="K1229" s="123">
        <f t="shared" si="76"/>
        <v>21677.190000000002</v>
      </c>
      <c r="L1229" s="120">
        <f t="shared" si="75"/>
        <v>12919.605240000001</v>
      </c>
      <c r="M1229" t="s">
        <v>4140</v>
      </c>
    </row>
    <row r="1230" spans="1:13" x14ac:dyDescent="0.25">
      <c r="B1230" s="7" t="s">
        <v>3488</v>
      </c>
      <c r="C1230" s="7" t="s">
        <v>3751</v>
      </c>
      <c r="D1230" s="7" t="s">
        <v>656</v>
      </c>
      <c r="E1230" s="7" t="s">
        <v>3849</v>
      </c>
      <c r="F1230" s="7" t="s">
        <v>3747</v>
      </c>
      <c r="G1230" s="7"/>
      <c r="H1230" s="7"/>
      <c r="I1230" s="7"/>
      <c r="J1230" s="58">
        <v>19529</v>
      </c>
      <c r="K1230" s="123">
        <f t="shared" si="76"/>
        <v>21677.190000000002</v>
      </c>
      <c r="L1230" s="120">
        <f t="shared" si="75"/>
        <v>12919.605240000001</v>
      </c>
      <c r="M1230" t="s">
        <v>4140</v>
      </c>
    </row>
    <row r="1231" spans="1:13" x14ac:dyDescent="0.25">
      <c r="B1231" s="7" t="s">
        <v>3489</v>
      </c>
      <c r="C1231" s="7" t="s">
        <v>3751</v>
      </c>
      <c r="D1231" s="7" t="s">
        <v>657</v>
      </c>
      <c r="E1231" s="7" t="s">
        <v>3850</v>
      </c>
      <c r="F1231" s="7" t="s">
        <v>3747</v>
      </c>
      <c r="G1231" s="7"/>
      <c r="H1231" s="7"/>
      <c r="I1231" s="7"/>
      <c r="J1231" s="58">
        <v>19529</v>
      </c>
      <c r="K1231" s="123">
        <f t="shared" si="76"/>
        <v>21677.190000000002</v>
      </c>
      <c r="L1231" s="120">
        <f t="shared" si="75"/>
        <v>12919.605240000001</v>
      </c>
      <c r="M1231" t="s">
        <v>4140</v>
      </c>
    </row>
    <row r="1232" spans="1:13" x14ac:dyDescent="0.25">
      <c r="B1232" s="7" t="s">
        <v>3490</v>
      </c>
      <c r="C1232" s="7" t="s">
        <v>3751</v>
      </c>
      <c r="D1232" s="7" t="s">
        <v>658</v>
      </c>
      <c r="E1232" s="7" t="s">
        <v>3851</v>
      </c>
      <c r="F1232" s="7" t="s">
        <v>3747</v>
      </c>
      <c r="G1232" s="7"/>
      <c r="H1232" s="7"/>
      <c r="I1232" s="7"/>
      <c r="J1232" s="58">
        <v>19529</v>
      </c>
      <c r="K1232" s="123">
        <f t="shared" si="76"/>
        <v>21677.190000000002</v>
      </c>
      <c r="L1232" s="120">
        <f t="shared" si="75"/>
        <v>12919.605240000001</v>
      </c>
      <c r="M1232" t="s">
        <v>4140</v>
      </c>
    </row>
    <row r="1233" spans="2:13" x14ac:dyDescent="0.25">
      <c r="B1233" s="7" t="s">
        <v>3491</v>
      </c>
      <c r="C1233" s="7" t="s">
        <v>3751</v>
      </c>
      <c r="D1233" s="7" t="s">
        <v>659</v>
      </c>
      <c r="E1233" s="7" t="s">
        <v>3852</v>
      </c>
      <c r="F1233" s="7" t="s">
        <v>3747</v>
      </c>
      <c r="G1233" s="7"/>
      <c r="H1233" s="7"/>
      <c r="I1233" s="7"/>
      <c r="J1233" s="58">
        <v>19529</v>
      </c>
      <c r="K1233" s="123">
        <f t="shared" si="76"/>
        <v>21677.190000000002</v>
      </c>
      <c r="L1233" s="120">
        <f t="shared" si="75"/>
        <v>12919.605240000001</v>
      </c>
      <c r="M1233" t="s">
        <v>4140</v>
      </c>
    </row>
    <row r="1234" spans="2:13" x14ac:dyDescent="0.25">
      <c r="B1234" s="7" t="s">
        <v>3492</v>
      </c>
      <c r="C1234" s="7" t="s">
        <v>3751</v>
      </c>
      <c r="D1234" s="7" t="s">
        <v>660</v>
      </c>
      <c r="E1234" s="7" t="s">
        <v>3853</v>
      </c>
      <c r="F1234" s="7" t="s">
        <v>3747</v>
      </c>
      <c r="G1234" s="7"/>
      <c r="H1234" s="7"/>
      <c r="I1234" s="7"/>
      <c r="J1234" s="58">
        <v>19529</v>
      </c>
      <c r="K1234" s="123">
        <f t="shared" si="76"/>
        <v>21677.190000000002</v>
      </c>
      <c r="L1234" s="120">
        <f t="shared" si="75"/>
        <v>12919.605240000001</v>
      </c>
      <c r="M1234" t="s">
        <v>4140</v>
      </c>
    </row>
    <row r="1235" spans="2:13" x14ac:dyDescent="0.25">
      <c r="B1235" s="7" t="s">
        <v>3493</v>
      </c>
      <c r="C1235" s="7" t="s">
        <v>3751</v>
      </c>
      <c r="D1235" s="7" t="s">
        <v>661</v>
      </c>
      <c r="E1235" s="7" t="s">
        <v>3869</v>
      </c>
      <c r="F1235" s="7" t="s">
        <v>3747</v>
      </c>
      <c r="G1235" s="7"/>
      <c r="H1235" s="7"/>
      <c r="I1235" s="7"/>
      <c r="J1235" s="58">
        <v>19529</v>
      </c>
      <c r="K1235" s="123">
        <f t="shared" si="76"/>
        <v>21677.190000000002</v>
      </c>
      <c r="L1235" s="120">
        <f t="shared" si="75"/>
        <v>12919.605240000001</v>
      </c>
      <c r="M1235" t="s">
        <v>4140</v>
      </c>
    </row>
    <row r="1236" spans="2:13" x14ac:dyDescent="0.25">
      <c r="B1236" s="7" t="s">
        <v>3494</v>
      </c>
      <c r="C1236" s="7" t="s">
        <v>3751</v>
      </c>
      <c r="D1236" s="7" t="s">
        <v>149</v>
      </c>
      <c r="E1236" s="7" t="s">
        <v>3787</v>
      </c>
      <c r="F1236" s="7" t="s">
        <v>3747</v>
      </c>
      <c r="G1236" s="7"/>
      <c r="H1236" s="7"/>
      <c r="I1236" s="7"/>
      <c r="J1236" s="58">
        <v>15019</v>
      </c>
      <c r="K1236" s="123">
        <f t="shared" si="76"/>
        <v>16671.09</v>
      </c>
      <c r="L1236" s="120">
        <f t="shared" si="75"/>
        <v>9935.9696399999993</v>
      </c>
      <c r="M1236" t="s">
        <v>4140</v>
      </c>
    </row>
    <row r="1237" spans="2:13" x14ac:dyDescent="0.25">
      <c r="B1237" s="7" t="s">
        <v>3495</v>
      </c>
      <c r="C1237" s="7" t="s">
        <v>3751</v>
      </c>
      <c r="D1237" s="7" t="s">
        <v>662</v>
      </c>
      <c r="E1237" s="7" t="s">
        <v>3854</v>
      </c>
      <c r="F1237" s="7" t="s">
        <v>3747</v>
      </c>
      <c r="G1237" s="7"/>
      <c r="H1237" s="7"/>
      <c r="I1237" s="7"/>
      <c r="J1237" s="58">
        <v>15019</v>
      </c>
      <c r="K1237" s="123">
        <f t="shared" si="76"/>
        <v>16671.09</v>
      </c>
      <c r="L1237" s="120">
        <f t="shared" si="75"/>
        <v>9935.9696399999993</v>
      </c>
      <c r="M1237" t="s">
        <v>4140</v>
      </c>
    </row>
    <row r="1238" spans="2:13" x14ac:dyDescent="0.25">
      <c r="B1238" s="7" t="s">
        <v>3496</v>
      </c>
      <c r="C1238" s="7" t="s">
        <v>3751</v>
      </c>
      <c r="D1238" s="7" t="s">
        <v>663</v>
      </c>
      <c r="E1238" s="7" t="s">
        <v>3855</v>
      </c>
      <c r="F1238" s="7" t="s">
        <v>3747</v>
      </c>
      <c r="G1238" s="7"/>
      <c r="H1238" s="7"/>
      <c r="I1238" s="7"/>
      <c r="J1238" s="58">
        <v>19529</v>
      </c>
      <c r="K1238" s="123">
        <f t="shared" si="76"/>
        <v>21677.190000000002</v>
      </c>
      <c r="L1238" s="120">
        <f t="shared" si="75"/>
        <v>12919.605240000001</v>
      </c>
      <c r="M1238" t="s">
        <v>4140</v>
      </c>
    </row>
    <row r="1239" spans="2:13" x14ac:dyDescent="0.25">
      <c r="B1239" s="7" t="s">
        <v>3497</v>
      </c>
      <c r="C1239" s="7" t="s">
        <v>3751</v>
      </c>
      <c r="D1239" s="7" t="s">
        <v>664</v>
      </c>
      <c r="E1239" s="7" t="s">
        <v>3856</v>
      </c>
      <c r="F1239" s="7" t="s">
        <v>3747</v>
      </c>
      <c r="G1239" s="7"/>
      <c r="H1239" s="7"/>
      <c r="I1239" s="7"/>
      <c r="J1239" s="58">
        <v>19529</v>
      </c>
      <c r="K1239" s="123">
        <f t="shared" si="76"/>
        <v>21677.190000000002</v>
      </c>
      <c r="L1239" s="120">
        <f t="shared" si="75"/>
        <v>12919.605240000001</v>
      </c>
      <c r="M1239" t="s">
        <v>4140</v>
      </c>
    </row>
    <row r="1240" spans="2:13" x14ac:dyDescent="0.25">
      <c r="B1240" s="7" t="s">
        <v>3498</v>
      </c>
      <c r="C1240" s="7" t="s">
        <v>3751</v>
      </c>
      <c r="D1240" s="7" t="s">
        <v>665</v>
      </c>
      <c r="E1240" s="7" t="s">
        <v>3857</v>
      </c>
      <c r="F1240" s="7" t="s">
        <v>3747</v>
      </c>
      <c r="G1240" s="7"/>
      <c r="H1240" s="7"/>
      <c r="I1240" s="7"/>
      <c r="J1240" s="58">
        <v>19529</v>
      </c>
      <c r="K1240" s="123">
        <f t="shared" si="76"/>
        <v>21677.190000000002</v>
      </c>
      <c r="L1240" s="120">
        <f t="shared" si="75"/>
        <v>12919.605240000001</v>
      </c>
      <c r="M1240" t="s">
        <v>4140</v>
      </c>
    </row>
    <row r="1241" spans="2:13" x14ac:dyDescent="0.25">
      <c r="B1241" s="7" t="s">
        <v>3499</v>
      </c>
      <c r="C1241" s="7" t="s">
        <v>3751</v>
      </c>
      <c r="D1241" s="7" t="s">
        <v>666</v>
      </c>
      <c r="E1241" s="7" t="s">
        <v>3858</v>
      </c>
      <c r="F1241" s="7" t="s">
        <v>3747</v>
      </c>
      <c r="G1241" s="7"/>
      <c r="H1241" s="7"/>
      <c r="I1241" s="7"/>
      <c r="J1241" s="58">
        <v>19529</v>
      </c>
      <c r="K1241" s="123">
        <f t="shared" si="76"/>
        <v>21677.190000000002</v>
      </c>
      <c r="L1241" s="120">
        <f t="shared" si="75"/>
        <v>12919.605240000001</v>
      </c>
      <c r="M1241" t="s">
        <v>4140</v>
      </c>
    </row>
    <row r="1242" spans="2:13" x14ac:dyDescent="0.25">
      <c r="B1242" s="7" t="s">
        <v>3500</v>
      </c>
      <c r="C1242" s="7" t="s">
        <v>3751</v>
      </c>
      <c r="D1242" s="7" t="s">
        <v>667</v>
      </c>
      <c r="E1242" s="7" t="s">
        <v>3859</v>
      </c>
      <c r="F1242" s="7" t="s">
        <v>3747</v>
      </c>
      <c r="G1242" s="7"/>
      <c r="H1242" s="7"/>
      <c r="I1242" s="7"/>
      <c r="J1242" s="58">
        <v>19529</v>
      </c>
      <c r="K1242" s="123">
        <f t="shared" si="76"/>
        <v>21677.190000000002</v>
      </c>
      <c r="L1242" s="120">
        <f t="shared" si="75"/>
        <v>12919.605240000001</v>
      </c>
      <c r="M1242" t="s">
        <v>4140</v>
      </c>
    </row>
    <row r="1243" spans="2:13" x14ac:dyDescent="0.25">
      <c r="B1243" s="7" t="s">
        <v>3501</v>
      </c>
      <c r="C1243" s="7" t="s">
        <v>3751</v>
      </c>
      <c r="D1243" s="7" t="s">
        <v>668</v>
      </c>
      <c r="E1243" s="7" t="s">
        <v>3860</v>
      </c>
      <c r="F1243" s="7" t="s">
        <v>3747</v>
      </c>
      <c r="G1243" s="7"/>
      <c r="H1243" s="7"/>
      <c r="I1243" s="7"/>
      <c r="J1243" s="58">
        <v>19529</v>
      </c>
      <c r="K1243" s="123">
        <f t="shared" si="76"/>
        <v>21677.190000000002</v>
      </c>
      <c r="L1243" s="120">
        <f t="shared" si="75"/>
        <v>12919.605240000001</v>
      </c>
      <c r="M1243" t="s">
        <v>4140</v>
      </c>
    </row>
    <row r="1244" spans="2:13" x14ac:dyDescent="0.25">
      <c r="B1244" s="7" t="s">
        <v>3502</v>
      </c>
      <c r="C1244" s="7" t="s">
        <v>3751</v>
      </c>
      <c r="D1244" s="7" t="s">
        <v>669</v>
      </c>
      <c r="E1244" s="7" t="s">
        <v>3861</v>
      </c>
      <c r="F1244" s="7" t="s">
        <v>3747</v>
      </c>
      <c r="G1244" s="7"/>
      <c r="H1244" s="7"/>
      <c r="I1244" s="7"/>
      <c r="J1244" s="58">
        <v>19529</v>
      </c>
      <c r="K1244" s="123">
        <f t="shared" si="76"/>
        <v>21677.190000000002</v>
      </c>
      <c r="L1244" s="120">
        <f t="shared" si="75"/>
        <v>12919.605240000001</v>
      </c>
      <c r="M1244" t="s">
        <v>4140</v>
      </c>
    </row>
    <row r="1245" spans="2:13" x14ac:dyDescent="0.25">
      <c r="B1245" s="7" t="s">
        <v>3503</v>
      </c>
      <c r="C1245" s="7" t="s">
        <v>3751</v>
      </c>
      <c r="D1245" s="7" t="s">
        <v>670</v>
      </c>
      <c r="E1245" s="7" t="s">
        <v>3862</v>
      </c>
      <c r="F1245" s="7" t="s">
        <v>3747</v>
      </c>
      <c r="G1245" s="7"/>
      <c r="H1245" s="7"/>
      <c r="I1245" s="7"/>
      <c r="J1245" s="58">
        <v>19529</v>
      </c>
      <c r="K1245" s="123">
        <f t="shared" si="76"/>
        <v>21677.190000000002</v>
      </c>
      <c r="L1245" s="120">
        <f t="shared" ref="L1245:L1308" si="77">K1245*0.596</f>
        <v>12919.605240000001</v>
      </c>
      <c r="M1245" t="s">
        <v>4140</v>
      </c>
    </row>
    <row r="1246" spans="2:13" x14ac:dyDescent="0.25">
      <c r="B1246" s="7" t="s">
        <v>3504</v>
      </c>
      <c r="C1246" s="7" t="s">
        <v>3751</v>
      </c>
      <c r="D1246" s="7" t="s">
        <v>671</v>
      </c>
      <c r="E1246" s="7" t="s">
        <v>3863</v>
      </c>
      <c r="F1246" s="7" t="s">
        <v>3747</v>
      </c>
      <c r="G1246" s="7"/>
      <c r="H1246" s="7"/>
      <c r="I1246" s="7"/>
      <c r="J1246" s="58">
        <v>19529</v>
      </c>
      <c r="K1246" s="123">
        <f t="shared" si="76"/>
        <v>21677.190000000002</v>
      </c>
      <c r="L1246" s="120">
        <f t="shared" si="77"/>
        <v>12919.605240000001</v>
      </c>
      <c r="M1246" t="s">
        <v>4140</v>
      </c>
    </row>
    <row r="1247" spans="2:13" x14ac:dyDescent="0.25">
      <c r="B1247" s="7" t="s">
        <v>3505</v>
      </c>
      <c r="C1247" s="7" t="s">
        <v>3751</v>
      </c>
      <c r="D1247" s="7" t="s">
        <v>672</v>
      </c>
      <c r="E1247" s="7" t="s">
        <v>3864</v>
      </c>
      <c r="F1247" s="7" t="s">
        <v>3747</v>
      </c>
      <c r="G1247" s="7"/>
      <c r="H1247" s="7"/>
      <c r="I1247" s="7"/>
      <c r="J1247" s="58">
        <v>19529</v>
      </c>
      <c r="K1247" s="123">
        <f t="shared" si="76"/>
        <v>21677.190000000002</v>
      </c>
      <c r="L1247" s="120">
        <f t="shared" si="77"/>
        <v>12919.605240000001</v>
      </c>
      <c r="M1247" t="s">
        <v>4140</v>
      </c>
    </row>
    <row r="1248" spans="2:13" x14ac:dyDescent="0.25">
      <c r="B1248" s="7" t="s">
        <v>3506</v>
      </c>
      <c r="C1248" s="7" t="s">
        <v>3751</v>
      </c>
      <c r="D1248" s="7" t="s">
        <v>673</v>
      </c>
      <c r="E1248" s="7" t="s">
        <v>3870</v>
      </c>
      <c r="F1248" s="7" t="s">
        <v>3747</v>
      </c>
      <c r="G1248" s="7"/>
      <c r="H1248" s="7"/>
      <c r="I1248" s="7"/>
      <c r="J1248" s="58">
        <v>19529</v>
      </c>
      <c r="K1248" s="123">
        <f t="shared" si="76"/>
        <v>21677.190000000002</v>
      </c>
      <c r="L1248" s="120">
        <f t="shared" si="77"/>
        <v>12919.605240000001</v>
      </c>
      <c r="M1248" t="s">
        <v>4140</v>
      </c>
    </row>
    <row r="1249" spans="2:13" x14ac:dyDescent="0.25">
      <c r="B1249" s="7" t="s">
        <v>3507</v>
      </c>
      <c r="C1249" s="7" t="s">
        <v>3751</v>
      </c>
      <c r="D1249" s="7" t="s">
        <v>674</v>
      </c>
      <c r="E1249" s="7" t="s">
        <v>3865</v>
      </c>
      <c r="F1249" s="7" t="s">
        <v>3747</v>
      </c>
      <c r="G1249" s="7"/>
      <c r="H1249" s="7"/>
      <c r="I1249" s="7"/>
      <c r="J1249" s="58">
        <v>15019</v>
      </c>
      <c r="K1249" s="123">
        <f t="shared" si="76"/>
        <v>16671.09</v>
      </c>
      <c r="L1249" s="120">
        <f t="shared" si="77"/>
        <v>9935.9696399999993</v>
      </c>
      <c r="M1249" t="s">
        <v>4140</v>
      </c>
    </row>
    <row r="1250" spans="2:13" x14ac:dyDescent="0.25">
      <c r="B1250" s="7" t="s">
        <v>3508</v>
      </c>
      <c r="C1250" s="7" t="s">
        <v>3751</v>
      </c>
      <c r="D1250" s="7" t="s">
        <v>675</v>
      </c>
      <c r="E1250" s="7" t="s">
        <v>3866</v>
      </c>
      <c r="F1250" s="7" t="s">
        <v>3747</v>
      </c>
      <c r="G1250" s="7"/>
      <c r="H1250" s="7"/>
      <c r="I1250" s="7"/>
      <c r="J1250" s="58">
        <v>15019</v>
      </c>
      <c r="K1250" s="123">
        <f t="shared" si="76"/>
        <v>16671.09</v>
      </c>
      <c r="L1250" s="120">
        <f t="shared" si="77"/>
        <v>9935.9696399999993</v>
      </c>
      <c r="M1250" t="s">
        <v>4140</v>
      </c>
    </row>
    <row r="1251" spans="2:13" x14ac:dyDescent="0.25">
      <c r="B1251" s="7" t="s">
        <v>3509</v>
      </c>
      <c r="C1251" s="7" t="s">
        <v>3751</v>
      </c>
      <c r="D1251" s="7" t="s">
        <v>676</v>
      </c>
      <c r="E1251" s="7" t="s">
        <v>3867</v>
      </c>
      <c r="F1251" s="7" t="s">
        <v>3747</v>
      </c>
      <c r="G1251" s="7"/>
      <c r="H1251" s="7"/>
      <c r="I1251" s="7"/>
      <c r="J1251" s="58">
        <v>19529</v>
      </c>
      <c r="K1251" s="123">
        <f t="shared" si="76"/>
        <v>21677.190000000002</v>
      </c>
      <c r="L1251" s="120">
        <f t="shared" si="77"/>
        <v>12919.605240000001</v>
      </c>
      <c r="M1251" t="s">
        <v>4140</v>
      </c>
    </row>
    <row r="1252" spans="2:13" x14ac:dyDescent="0.25">
      <c r="B1252" s="7" t="s">
        <v>3510</v>
      </c>
      <c r="C1252" s="7" t="s">
        <v>3751</v>
      </c>
      <c r="D1252" s="7" t="s">
        <v>677</v>
      </c>
      <c r="E1252" s="7" t="s">
        <v>3868</v>
      </c>
      <c r="F1252" s="7" t="s">
        <v>3747</v>
      </c>
      <c r="G1252" s="7"/>
      <c r="H1252" s="7"/>
      <c r="I1252" s="7"/>
      <c r="J1252" s="58">
        <v>19529</v>
      </c>
      <c r="K1252" s="123">
        <f t="shared" si="76"/>
        <v>21677.190000000002</v>
      </c>
      <c r="L1252" s="120">
        <f t="shared" si="77"/>
        <v>12919.605240000001</v>
      </c>
      <c r="M1252" t="s">
        <v>4140</v>
      </c>
    </row>
    <row r="1253" spans="2:13" x14ac:dyDescent="0.25">
      <c r="B1253" s="7" t="s">
        <v>3511</v>
      </c>
      <c r="C1253" s="7" t="s">
        <v>3751</v>
      </c>
      <c r="D1253" s="7" t="s">
        <v>678</v>
      </c>
      <c r="E1253" s="7" t="s">
        <v>3871</v>
      </c>
      <c r="F1253" s="7" t="s">
        <v>3747</v>
      </c>
      <c r="G1253" s="7"/>
      <c r="H1253" s="7"/>
      <c r="I1253" s="7"/>
      <c r="J1253" s="58">
        <v>19529</v>
      </c>
      <c r="K1253" s="123">
        <f t="shared" si="76"/>
        <v>21677.190000000002</v>
      </c>
      <c r="L1253" s="120">
        <f t="shared" si="77"/>
        <v>12919.605240000001</v>
      </c>
      <c r="M1253" t="s">
        <v>4140</v>
      </c>
    </row>
    <row r="1254" spans="2:13" x14ac:dyDescent="0.25">
      <c r="B1254" s="7" t="s">
        <v>3512</v>
      </c>
      <c r="C1254" s="7" t="s">
        <v>3751</v>
      </c>
      <c r="D1254" s="7" t="s">
        <v>679</v>
      </c>
      <c r="E1254" s="7" t="s">
        <v>3872</v>
      </c>
      <c r="F1254" s="7" t="s">
        <v>3747</v>
      </c>
      <c r="G1254" s="7"/>
      <c r="H1254" s="7"/>
      <c r="I1254" s="7"/>
      <c r="J1254" s="58">
        <v>19529</v>
      </c>
      <c r="K1254" s="123">
        <f t="shared" si="76"/>
        <v>21677.190000000002</v>
      </c>
      <c r="L1254" s="120">
        <f t="shared" si="77"/>
        <v>12919.605240000001</v>
      </c>
      <c r="M1254" t="s">
        <v>4140</v>
      </c>
    </row>
    <row r="1255" spans="2:13" x14ac:dyDescent="0.25">
      <c r="B1255" s="7" t="s">
        <v>3513</v>
      </c>
      <c r="C1255" s="7" t="s">
        <v>3751</v>
      </c>
      <c r="D1255" s="7" t="s">
        <v>680</v>
      </c>
      <c r="E1255" s="7" t="s">
        <v>3873</v>
      </c>
      <c r="F1255" s="7" t="s">
        <v>3747</v>
      </c>
      <c r="G1255" s="7"/>
      <c r="H1255" s="7"/>
      <c r="I1255" s="7"/>
      <c r="J1255" s="58">
        <v>19529</v>
      </c>
      <c r="K1255" s="123">
        <f t="shared" si="76"/>
        <v>21677.190000000002</v>
      </c>
      <c r="L1255" s="120">
        <f t="shared" si="77"/>
        <v>12919.605240000001</v>
      </c>
      <c r="M1255" t="s">
        <v>4140</v>
      </c>
    </row>
    <row r="1256" spans="2:13" x14ac:dyDescent="0.25">
      <c r="B1256" s="7" t="s">
        <v>3514</v>
      </c>
      <c r="C1256" s="7" t="s">
        <v>3751</v>
      </c>
      <c r="D1256" s="7" t="s">
        <v>681</v>
      </c>
      <c r="E1256" s="7" t="s">
        <v>3874</v>
      </c>
      <c r="F1256" s="7" t="s">
        <v>3747</v>
      </c>
      <c r="G1256" s="7"/>
      <c r="H1256" s="7"/>
      <c r="I1256" s="7"/>
      <c r="J1256" s="58">
        <v>19529</v>
      </c>
      <c r="K1256" s="123">
        <f t="shared" si="76"/>
        <v>21677.190000000002</v>
      </c>
      <c r="L1256" s="120">
        <f t="shared" si="77"/>
        <v>12919.605240000001</v>
      </c>
      <c r="M1256" t="s">
        <v>4140</v>
      </c>
    </row>
    <row r="1257" spans="2:13" x14ac:dyDescent="0.25">
      <c r="B1257" s="7" t="s">
        <v>3515</v>
      </c>
      <c r="C1257" s="7" t="s">
        <v>3751</v>
      </c>
      <c r="D1257" s="7" t="s">
        <v>682</v>
      </c>
      <c r="E1257" s="7" t="s">
        <v>3875</v>
      </c>
      <c r="F1257" s="7" t="s">
        <v>3747</v>
      </c>
      <c r="G1257" s="7"/>
      <c r="H1257" s="7"/>
      <c r="I1257" s="7"/>
      <c r="J1257" s="58">
        <v>19529</v>
      </c>
      <c r="K1257" s="123">
        <f t="shared" si="76"/>
        <v>21677.190000000002</v>
      </c>
      <c r="L1257" s="120">
        <f t="shared" si="77"/>
        <v>12919.605240000001</v>
      </c>
      <c r="M1257" t="s">
        <v>4140</v>
      </c>
    </row>
    <row r="1258" spans="2:13" x14ac:dyDescent="0.25">
      <c r="B1258" s="7" t="s">
        <v>3516</v>
      </c>
      <c r="C1258" s="7" t="s">
        <v>3751</v>
      </c>
      <c r="D1258" s="7" t="s">
        <v>683</v>
      </c>
      <c r="E1258" s="7" t="s">
        <v>3876</v>
      </c>
      <c r="F1258" s="7" t="s">
        <v>3747</v>
      </c>
      <c r="G1258" s="7"/>
      <c r="H1258" s="7"/>
      <c r="I1258" s="7"/>
      <c r="J1258" s="58">
        <v>19529</v>
      </c>
      <c r="K1258" s="123">
        <f t="shared" si="76"/>
        <v>21677.190000000002</v>
      </c>
      <c r="L1258" s="120">
        <f t="shared" si="77"/>
        <v>12919.605240000001</v>
      </c>
      <c r="M1258" t="s">
        <v>4140</v>
      </c>
    </row>
    <row r="1259" spans="2:13" x14ac:dyDescent="0.25">
      <c r="B1259" s="7" t="s">
        <v>3517</v>
      </c>
      <c r="C1259" s="7" t="s">
        <v>3751</v>
      </c>
      <c r="D1259" s="7" t="s">
        <v>684</v>
      </c>
      <c r="E1259" s="7" t="s">
        <v>3877</v>
      </c>
      <c r="F1259" s="7" t="s">
        <v>3747</v>
      </c>
      <c r="G1259" s="7"/>
      <c r="H1259" s="7"/>
      <c r="I1259" s="7"/>
      <c r="J1259" s="58">
        <v>19529</v>
      </c>
      <c r="K1259" s="123">
        <f t="shared" si="76"/>
        <v>21677.190000000002</v>
      </c>
      <c r="L1259" s="120">
        <f t="shared" si="77"/>
        <v>12919.605240000001</v>
      </c>
      <c r="M1259" t="s">
        <v>4140</v>
      </c>
    </row>
    <row r="1260" spans="2:13" x14ac:dyDescent="0.25">
      <c r="B1260" s="7" t="s">
        <v>3518</v>
      </c>
      <c r="C1260" s="7" t="s">
        <v>3751</v>
      </c>
      <c r="D1260" s="7" t="s">
        <v>685</v>
      </c>
      <c r="E1260" s="7" t="s">
        <v>3878</v>
      </c>
      <c r="F1260" s="7" t="s">
        <v>3747</v>
      </c>
      <c r="G1260" s="7"/>
      <c r="H1260" s="7"/>
      <c r="I1260" s="7"/>
      <c r="J1260" s="58">
        <v>19529</v>
      </c>
      <c r="K1260" s="123">
        <f t="shared" si="76"/>
        <v>21677.190000000002</v>
      </c>
      <c r="L1260" s="120">
        <f t="shared" si="77"/>
        <v>12919.605240000001</v>
      </c>
      <c r="M1260" t="s">
        <v>4140</v>
      </c>
    </row>
    <row r="1261" spans="2:13" x14ac:dyDescent="0.25">
      <c r="B1261" s="7" t="s">
        <v>3519</v>
      </c>
      <c r="C1261" s="7" t="s">
        <v>3751</v>
      </c>
      <c r="D1261" s="7" t="s">
        <v>686</v>
      </c>
      <c r="E1261" s="7" t="s">
        <v>3879</v>
      </c>
      <c r="F1261" s="7" t="s">
        <v>3747</v>
      </c>
      <c r="G1261" s="7"/>
      <c r="H1261" s="7"/>
      <c r="I1261" s="7"/>
      <c r="J1261" s="58">
        <v>19529</v>
      </c>
      <c r="K1261" s="123">
        <f t="shared" si="76"/>
        <v>21677.190000000002</v>
      </c>
      <c r="L1261" s="120">
        <f t="shared" si="77"/>
        <v>12919.605240000001</v>
      </c>
      <c r="M1261" t="s">
        <v>4140</v>
      </c>
    </row>
    <row r="1262" spans="2:13" x14ac:dyDescent="0.25">
      <c r="B1262" s="7" t="s">
        <v>3520</v>
      </c>
      <c r="C1262" s="7" t="s">
        <v>3751</v>
      </c>
      <c r="D1262" s="7" t="s">
        <v>687</v>
      </c>
      <c r="E1262" s="7" t="s">
        <v>3880</v>
      </c>
      <c r="F1262" s="7" t="s">
        <v>3747</v>
      </c>
      <c r="G1262" s="7"/>
      <c r="H1262" s="7"/>
      <c r="I1262" s="7"/>
      <c r="J1262" s="58">
        <v>15019</v>
      </c>
      <c r="K1262" s="123">
        <f t="shared" si="76"/>
        <v>16671.09</v>
      </c>
      <c r="L1262" s="120">
        <f t="shared" si="77"/>
        <v>9935.9696399999993</v>
      </c>
      <c r="M1262" t="s">
        <v>4140</v>
      </c>
    </row>
    <row r="1263" spans="2:13" x14ac:dyDescent="0.25">
      <c r="B1263" s="7" t="s">
        <v>3521</v>
      </c>
      <c r="C1263" s="7" t="s">
        <v>3751</v>
      </c>
      <c r="D1263" s="7" t="s">
        <v>688</v>
      </c>
      <c r="E1263" s="7" t="s">
        <v>3881</v>
      </c>
      <c r="F1263" s="7" t="s">
        <v>3747</v>
      </c>
      <c r="G1263" s="7"/>
      <c r="H1263" s="7"/>
      <c r="I1263" s="7"/>
      <c r="J1263" s="58">
        <v>15019</v>
      </c>
      <c r="K1263" s="123">
        <f t="shared" si="76"/>
        <v>16671.09</v>
      </c>
      <c r="L1263" s="120">
        <f t="shared" si="77"/>
        <v>9935.9696399999993</v>
      </c>
      <c r="M1263" t="s">
        <v>4140</v>
      </c>
    </row>
    <row r="1264" spans="2:13" x14ac:dyDescent="0.25">
      <c r="B1264" s="7" t="s">
        <v>3522</v>
      </c>
      <c r="C1264" s="7" t="s">
        <v>3751</v>
      </c>
      <c r="D1264" s="7" t="s">
        <v>689</v>
      </c>
      <c r="E1264" s="7" t="s">
        <v>3882</v>
      </c>
      <c r="F1264" s="7" t="s">
        <v>3747</v>
      </c>
      <c r="G1264" s="7"/>
      <c r="H1264" s="7"/>
      <c r="I1264" s="7"/>
      <c r="J1264" s="58">
        <v>19529</v>
      </c>
      <c r="K1264" s="123">
        <f t="shared" si="76"/>
        <v>21677.190000000002</v>
      </c>
      <c r="L1264" s="120">
        <f t="shared" si="77"/>
        <v>12919.605240000001</v>
      </c>
      <c r="M1264" t="s">
        <v>4140</v>
      </c>
    </row>
    <row r="1265" spans="1:13" x14ac:dyDescent="0.25">
      <c r="B1265" s="7" t="s">
        <v>3523</v>
      </c>
      <c r="C1265" s="7" t="s">
        <v>3751</v>
      </c>
      <c r="D1265" s="7" t="s">
        <v>690</v>
      </c>
      <c r="E1265" s="7" t="s">
        <v>3883</v>
      </c>
      <c r="F1265" s="7" t="s">
        <v>3747</v>
      </c>
      <c r="G1265" s="7"/>
      <c r="H1265" s="7"/>
      <c r="I1265" s="7"/>
      <c r="J1265" s="58">
        <v>19529</v>
      </c>
      <c r="K1265" s="123">
        <f t="shared" si="76"/>
        <v>21677.190000000002</v>
      </c>
      <c r="L1265" s="120">
        <f t="shared" si="77"/>
        <v>12919.605240000001</v>
      </c>
      <c r="M1265" t="s">
        <v>4140</v>
      </c>
    </row>
    <row r="1266" spans="1:13" x14ac:dyDescent="0.25">
      <c r="B1266" s="7" t="s">
        <v>3524</v>
      </c>
      <c r="C1266" s="7" t="s">
        <v>3751</v>
      </c>
      <c r="D1266" s="7" t="s">
        <v>691</v>
      </c>
      <c r="E1266" s="7" t="s">
        <v>3884</v>
      </c>
      <c r="F1266" s="7" t="s">
        <v>3747</v>
      </c>
      <c r="G1266" s="7"/>
      <c r="H1266" s="7"/>
      <c r="I1266" s="7"/>
      <c r="J1266" s="58">
        <v>19529</v>
      </c>
      <c r="K1266" s="123">
        <f t="shared" si="76"/>
        <v>21677.190000000002</v>
      </c>
      <c r="L1266" s="120">
        <f t="shared" si="77"/>
        <v>12919.605240000001</v>
      </c>
      <c r="M1266" t="s">
        <v>4140</v>
      </c>
    </row>
    <row r="1267" spans="1:13" x14ac:dyDescent="0.25">
      <c r="B1267" s="7" t="s">
        <v>3525</v>
      </c>
      <c r="C1267" s="7" t="s">
        <v>3751</v>
      </c>
      <c r="D1267" s="7" t="s">
        <v>692</v>
      </c>
      <c r="E1267" s="7" t="s">
        <v>3885</v>
      </c>
      <c r="F1267" s="7" t="s">
        <v>3747</v>
      </c>
      <c r="G1267" s="7"/>
      <c r="H1267" s="7"/>
      <c r="I1267" s="7"/>
      <c r="J1267" s="58">
        <v>19529</v>
      </c>
      <c r="K1267" s="123">
        <f t="shared" si="76"/>
        <v>21677.190000000002</v>
      </c>
      <c r="L1267" s="120">
        <f t="shared" si="77"/>
        <v>12919.605240000001</v>
      </c>
      <c r="M1267" t="s">
        <v>4140</v>
      </c>
    </row>
    <row r="1268" spans="1:13" x14ac:dyDescent="0.25">
      <c r="B1268" s="7" t="s">
        <v>3526</v>
      </c>
      <c r="C1268" s="7" t="s">
        <v>3751</v>
      </c>
      <c r="D1268" s="7" t="s">
        <v>693</v>
      </c>
      <c r="E1268" s="7" t="s">
        <v>3886</v>
      </c>
      <c r="F1268" s="7" t="s">
        <v>3747</v>
      </c>
      <c r="G1268" s="7"/>
      <c r="H1268" s="7"/>
      <c r="I1268" s="7"/>
      <c r="J1268" s="58">
        <v>19529</v>
      </c>
      <c r="K1268" s="123">
        <f t="shared" si="76"/>
        <v>21677.190000000002</v>
      </c>
      <c r="L1268" s="120">
        <f t="shared" si="77"/>
        <v>12919.605240000001</v>
      </c>
      <c r="M1268" t="s">
        <v>4140</v>
      </c>
    </row>
    <row r="1269" spans="1:13" x14ac:dyDescent="0.25">
      <c r="B1269" s="7" t="s">
        <v>3527</v>
      </c>
      <c r="C1269" s="7" t="s">
        <v>3751</v>
      </c>
      <c r="D1269" s="7" t="s">
        <v>694</v>
      </c>
      <c r="E1269" s="7" t="s">
        <v>3887</v>
      </c>
      <c r="F1269" s="7" t="s">
        <v>3747</v>
      </c>
      <c r="G1269" s="7"/>
      <c r="H1269" s="7"/>
      <c r="I1269" s="7"/>
      <c r="J1269" s="58">
        <v>19529</v>
      </c>
      <c r="K1269" s="123">
        <f t="shared" si="76"/>
        <v>21677.190000000002</v>
      </c>
      <c r="L1269" s="120">
        <f t="shared" si="77"/>
        <v>12919.605240000001</v>
      </c>
      <c r="M1269" t="s">
        <v>4140</v>
      </c>
    </row>
    <row r="1270" spans="1:13" x14ac:dyDescent="0.25">
      <c r="B1270" s="7" t="s">
        <v>3528</v>
      </c>
      <c r="C1270" s="7" t="s">
        <v>3751</v>
      </c>
      <c r="D1270" s="7" t="s">
        <v>695</v>
      </c>
      <c r="E1270" s="7" t="s">
        <v>3888</v>
      </c>
      <c r="F1270" s="7" t="s">
        <v>3747</v>
      </c>
      <c r="G1270" s="7"/>
      <c r="H1270" s="7"/>
      <c r="I1270" s="7"/>
      <c r="J1270" s="58">
        <v>19529</v>
      </c>
      <c r="K1270" s="123">
        <f t="shared" si="76"/>
        <v>21677.190000000002</v>
      </c>
      <c r="L1270" s="120">
        <f t="shared" si="77"/>
        <v>12919.605240000001</v>
      </c>
      <c r="M1270" t="s">
        <v>4140</v>
      </c>
    </row>
    <row r="1271" spans="1:13" x14ac:dyDescent="0.25">
      <c r="B1271" s="7" t="s">
        <v>3529</v>
      </c>
      <c r="C1271" s="7" t="s">
        <v>3751</v>
      </c>
      <c r="D1271" s="7" t="s">
        <v>696</v>
      </c>
      <c r="E1271" s="7" t="s">
        <v>3889</v>
      </c>
      <c r="F1271" s="7" t="s">
        <v>3747</v>
      </c>
      <c r="G1271" s="7"/>
      <c r="H1271" s="7"/>
      <c r="I1271" s="7"/>
      <c r="J1271" s="58">
        <v>19529</v>
      </c>
      <c r="K1271" s="123">
        <f t="shared" si="76"/>
        <v>21677.190000000002</v>
      </c>
      <c r="L1271" s="120">
        <f t="shared" si="77"/>
        <v>12919.605240000001</v>
      </c>
      <c r="M1271" t="s">
        <v>4140</v>
      </c>
    </row>
    <row r="1272" spans="1:13" x14ac:dyDescent="0.25">
      <c r="B1272" s="7" t="s">
        <v>3530</v>
      </c>
      <c r="C1272" s="7" t="s">
        <v>3751</v>
      </c>
      <c r="D1272" s="7" t="s">
        <v>697</v>
      </c>
      <c r="E1272" s="7" t="s">
        <v>3890</v>
      </c>
      <c r="F1272" s="7" t="s">
        <v>3747</v>
      </c>
      <c r="G1272" s="7"/>
      <c r="H1272" s="7"/>
      <c r="I1272" s="7"/>
      <c r="J1272" s="58">
        <v>19529</v>
      </c>
      <c r="K1272" s="123">
        <f t="shared" si="76"/>
        <v>21677.190000000002</v>
      </c>
      <c r="L1272" s="120">
        <f t="shared" si="77"/>
        <v>12919.605240000001</v>
      </c>
      <c r="M1272" t="s">
        <v>4140</v>
      </c>
    </row>
    <row r="1273" spans="1:13" x14ac:dyDescent="0.25">
      <c r="B1273" s="7" t="s">
        <v>3531</v>
      </c>
      <c r="C1273" s="7" t="s">
        <v>3751</v>
      </c>
      <c r="D1273" s="7" t="s">
        <v>698</v>
      </c>
      <c r="E1273" s="7" t="s">
        <v>3891</v>
      </c>
      <c r="F1273" s="7" t="s">
        <v>3747</v>
      </c>
      <c r="G1273" s="7"/>
      <c r="H1273" s="7"/>
      <c r="I1273" s="7"/>
      <c r="J1273" s="58">
        <v>19529</v>
      </c>
      <c r="K1273" s="123">
        <f t="shared" si="76"/>
        <v>21677.190000000002</v>
      </c>
      <c r="L1273" s="120">
        <f t="shared" si="77"/>
        <v>12919.605240000001</v>
      </c>
      <c r="M1273" t="s">
        <v>4140</v>
      </c>
    </row>
    <row r="1274" spans="1:13" x14ac:dyDescent="0.25">
      <c r="B1274" s="7" t="s">
        <v>3532</v>
      </c>
      <c r="C1274" s="7" t="s">
        <v>3751</v>
      </c>
      <c r="D1274" s="7" t="s">
        <v>699</v>
      </c>
      <c r="E1274" s="7" t="s">
        <v>3892</v>
      </c>
      <c r="F1274" s="7" t="s">
        <v>3747</v>
      </c>
      <c r="G1274" s="7"/>
      <c r="H1274" s="7"/>
      <c r="I1274" s="7"/>
      <c r="J1274" s="58">
        <v>19529</v>
      </c>
      <c r="K1274" s="123">
        <f t="shared" si="76"/>
        <v>21677.190000000002</v>
      </c>
      <c r="L1274" s="120">
        <f t="shared" si="77"/>
        <v>12919.605240000001</v>
      </c>
      <c r="M1274" t="s">
        <v>4140</v>
      </c>
    </row>
    <row r="1275" spans="1:13" x14ac:dyDescent="0.25">
      <c r="A1275" s="63" t="s">
        <v>3999</v>
      </c>
      <c r="B1275" s="121" t="s">
        <v>3995</v>
      </c>
      <c r="C1275" s="68"/>
      <c r="D1275" s="63"/>
      <c r="E1275" s="64"/>
      <c r="F1275" s="63"/>
      <c r="G1275" s="65"/>
      <c r="H1275" s="70"/>
      <c r="I1275" s="70"/>
      <c r="J1275" s="122"/>
      <c r="K1275" s="70"/>
      <c r="L1275" s="126"/>
    </row>
    <row r="1276" spans="1:13" x14ac:dyDescent="0.25">
      <c r="B1276" s="7" t="s">
        <v>3533</v>
      </c>
      <c r="C1276" s="7" t="s">
        <v>3752</v>
      </c>
      <c r="D1276" s="7" t="s">
        <v>145</v>
      </c>
      <c r="E1276" s="7" t="s">
        <v>3798</v>
      </c>
      <c r="F1276" s="7" t="s">
        <v>3744</v>
      </c>
      <c r="G1276" s="7"/>
      <c r="H1276" s="7"/>
      <c r="I1276" s="7"/>
      <c r="J1276" s="58">
        <v>14178</v>
      </c>
      <c r="K1276" s="58">
        <v>14178</v>
      </c>
      <c r="L1276" s="120">
        <f t="shared" si="77"/>
        <v>8450.0879999999997</v>
      </c>
      <c r="M1276" t="s">
        <v>4139</v>
      </c>
    </row>
    <row r="1277" spans="1:13" x14ac:dyDescent="0.25">
      <c r="B1277" s="7" t="s">
        <v>3534</v>
      </c>
      <c r="C1277" s="7" t="s">
        <v>3752</v>
      </c>
      <c r="D1277" s="7" t="s">
        <v>650</v>
      </c>
      <c r="E1277" s="7" t="s">
        <v>3906</v>
      </c>
      <c r="F1277" s="7" t="s">
        <v>3744</v>
      </c>
      <c r="G1277" s="7"/>
      <c r="H1277" s="7"/>
      <c r="I1277" s="7"/>
      <c r="J1277" s="58">
        <v>14178</v>
      </c>
      <c r="K1277" s="58">
        <v>14178</v>
      </c>
      <c r="L1277" s="120">
        <f t="shared" si="77"/>
        <v>8450.0879999999997</v>
      </c>
      <c r="M1277" t="s">
        <v>4139</v>
      </c>
    </row>
    <row r="1278" spans="1:13" x14ac:dyDescent="0.25">
      <c r="B1278" s="7" t="s">
        <v>3535</v>
      </c>
      <c r="C1278" s="7" t="s">
        <v>3752</v>
      </c>
      <c r="D1278" s="7" t="s">
        <v>651</v>
      </c>
      <c r="E1278" s="7" t="s">
        <v>3907</v>
      </c>
      <c r="F1278" s="7" t="s">
        <v>3744</v>
      </c>
      <c r="G1278" s="7"/>
      <c r="H1278" s="7"/>
      <c r="I1278" s="7"/>
      <c r="J1278" s="58">
        <v>16675</v>
      </c>
      <c r="K1278" s="58">
        <v>16675</v>
      </c>
      <c r="L1278" s="120">
        <f t="shared" si="77"/>
        <v>9938.2999999999993</v>
      </c>
      <c r="M1278" t="s">
        <v>4139</v>
      </c>
    </row>
    <row r="1279" spans="1:13" x14ac:dyDescent="0.25">
      <c r="B1279" s="7" t="s">
        <v>3536</v>
      </c>
      <c r="C1279" s="7" t="s">
        <v>3752</v>
      </c>
      <c r="D1279" s="7" t="s">
        <v>652</v>
      </c>
      <c r="E1279" s="7" t="s">
        <v>3908</v>
      </c>
      <c r="F1279" s="7" t="s">
        <v>3744</v>
      </c>
      <c r="G1279" s="7"/>
      <c r="H1279" s="7"/>
      <c r="I1279" s="7"/>
      <c r="J1279" s="58">
        <v>16675</v>
      </c>
      <c r="K1279" s="58">
        <v>16675</v>
      </c>
      <c r="L1279" s="120">
        <f t="shared" si="77"/>
        <v>9938.2999999999993</v>
      </c>
      <c r="M1279" t="s">
        <v>4139</v>
      </c>
    </row>
    <row r="1280" spans="1:13" x14ac:dyDescent="0.25">
      <c r="B1280" s="7" t="s">
        <v>3537</v>
      </c>
      <c r="C1280" s="7" t="s">
        <v>3752</v>
      </c>
      <c r="D1280" s="7" t="s">
        <v>653</v>
      </c>
      <c r="E1280" s="7" t="s">
        <v>3909</v>
      </c>
      <c r="F1280" s="7" t="s">
        <v>3744</v>
      </c>
      <c r="G1280" s="7"/>
      <c r="H1280" s="7"/>
      <c r="I1280" s="7"/>
      <c r="J1280" s="58">
        <v>16675</v>
      </c>
      <c r="K1280" s="58">
        <v>16675</v>
      </c>
      <c r="L1280" s="120">
        <f t="shared" si="77"/>
        <v>9938.2999999999993</v>
      </c>
      <c r="M1280" t="s">
        <v>4139</v>
      </c>
    </row>
    <row r="1281" spans="2:13" x14ac:dyDescent="0.25">
      <c r="B1281" s="7" t="s">
        <v>3538</v>
      </c>
      <c r="C1281" s="7" t="s">
        <v>3752</v>
      </c>
      <c r="D1281" s="7" t="s">
        <v>654</v>
      </c>
      <c r="E1281" s="7" t="s">
        <v>3910</v>
      </c>
      <c r="F1281" s="7" t="s">
        <v>3744</v>
      </c>
      <c r="G1281" s="7"/>
      <c r="H1281" s="7"/>
      <c r="I1281" s="7"/>
      <c r="J1281" s="58">
        <v>16675</v>
      </c>
      <c r="K1281" s="58">
        <v>16675</v>
      </c>
      <c r="L1281" s="120">
        <f t="shared" si="77"/>
        <v>9938.2999999999993</v>
      </c>
      <c r="M1281" t="s">
        <v>4139</v>
      </c>
    </row>
    <row r="1282" spans="2:13" x14ac:dyDescent="0.25">
      <c r="B1282" s="7" t="s">
        <v>3539</v>
      </c>
      <c r="C1282" s="7" t="s">
        <v>3752</v>
      </c>
      <c r="D1282" s="7" t="s">
        <v>655</v>
      </c>
      <c r="E1282" s="7" t="s">
        <v>3911</v>
      </c>
      <c r="F1282" s="7" t="s">
        <v>3744</v>
      </c>
      <c r="G1282" s="7"/>
      <c r="H1282" s="7"/>
      <c r="I1282" s="7"/>
      <c r="J1282" s="58">
        <v>16675</v>
      </c>
      <c r="K1282" s="58">
        <v>16675</v>
      </c>
      <c r="L1282" s="120">
        <f t="shared" si="77"/>
        <v>9938.2999999999993</v>
      </c>
      <c r="M1282" t="s">
        <v>4139</v>
      </c>
    </row>
    <row r="1283" spans="2:13" x14ac:dyDescent="0.25">
      <c r="B1283" s="7" t="s">
        <v>3540</v>
      </c>
      <c r="C1283" s="7" t="s">
        <v>3752</v>
      </c>
      <c r="D1283" s="7" t="s">
        <v>656</v>
      </c>
      <c r="E1283" s="7" t="s">
        <v>3912</v>
      </c>
      <c r="F1283" s="7" t="s">
        <v>3744</v>
      </c>
      <c r="G1283" s="7"/>
      <c r="H1283" s="7"/>
      <c r="I1283" s="7"/>
      <c r="J1283" s="58">
        <v>16675</v>
      </c>
      <c r="K1283" s="58">
        <v>16675</v>
      </c>
      <c r="L1283" s="120">
        <f t="shared" si="77"/>
        <v>9938.2999999999993</v>
      </c>
      <c r="M1283" t="s">
        <v>4139</v>
      </c>
    </row>
    <row r="1284" spans="2:13" x14ac:dyDescent="0.25">
      <c r="B1284" s="7" t="s">
        <v>3541</v>
      </c>
      <c r="C1284" s="7" t="s">
        <v>3752</v>
      </c>
      <c r="D1284" s="7" t="s">
        <v>657</v>
      </c>
      <c r="E1284" s="7" t="s">
        <v>3913</v>
      </c>
      <c r="F1284" s="7" t="s">
        <v>3744</v>
      </c>
      <c r="G1284" s="7"/>
      <c r="H1284" s="7"/>
      <c r="I1284" s="7"/>
      <c r="J1284" s="58">
        <v>16675</v>
      </c>
      <c r="K1284" s="58">
        <v>16675</v>
      </c>
      <c r="L1284" s="120">
        <f t="shared" si="77"/>
        <v>9938.2999999999993</v>
      </c>
      <c r="M1284" t="s">
        <v>4139</v>
      </c>
    </row>
    <row r="1285" spans="2:13" x14ac:dyDescent="0.25">
      <c r="B1285" s="7" t="s">
        <v>3542</v>
      </c>
      <c r="C1285" s="7" t="s">
        <v>3752</v>
      </c>
      <c r="D1285" s="7" t="s">
        <v>658</v>
      </c>
      <c r="E1285" s="7" t="s">
        <v>3914</v>
      </c>
      <c r="F1285" s="7" t="s">
        <v>3744</v>
      </c>
      <c r="G1285" s="7"/>
      <c r="H1285" s="7"/>
      <c r="I1285" s="7"/>
      <c r="J1285" s="58">
        <v>16675</v>
      </c>
      <c r="K1285" s="58">
        <v>16675</v>
      </c>
      <c r="L1285" s="120">
        <f t="shared" si="77"/>
        <v>9938.2999999999993</v>
      </c>
      <c r="M1285" t="s">
        <v>4139</v>
      </c>
    </row>
    <row r="1286" spans="2:13" x14ac:dyDescent="0.25">
      <c r="B1286" s="7" t="s">
        <v>3543</v>
      </c>
      <c r="C1286" s="7" t="s">
        <v>3752</v>
      </c>
      <c r="D1286" s="7" t="s">
        <v>659</v>
      </c>
      <c r="E1286" s="7" t="s">
        <v>3915</v>
      </c>
      <c r="F1286" s="7" t="s">
        <v>3744</v>
      </c>
      <c r="G1286" s="7"/>
      <c r="H1286" s="7"/>
      <c r="I1286" s="7"/>
      <c r="J1286" s="58">
        <v>16675</v>
      </c>
      <c r="K1286" s="58">
        <v>16675</v>
      </c>
      <c r="L1286" s="120">
        <f t="shared" si="77"/>
        <v>9938.2999999999993</v>
      </c>
      <c r="M1286" t="s">
        <v>4139</v>
      </c>
    </row>
    <row r="1287" spans="2:13" x14ac:dyDescent="0.25">
      <c r="B1287" s="7" t="s">
        <v>3544</v>
      </c>
      <c r="C1287" s="7" t="s">
        <v>3752</v>
      </c>
      <c r="D1287" s="7" t="s">
        <v>660</v>
      </c>
      <c r="E1287" s="7" t="s">
        <v>3916</v>
      </c>
      <c r="F1287" s="7" t="s">
        <v>3744</v>
      </c>
      <c r="G1287" s="7"/>
      <c r="H1287" s="7"/>
      <c r="I1287" s="7"/>
      <c r="J1287" s="58">
        <v>16675</v>
      </c>
      <c r="K1287" s="58">
        <v>16675</v>
      </c>
      <c r="L1287" s="120">
        <f t="shared" si="77"/>
        <v>9938.2999999999993</v>
      </c>
      <c r="M1287" t="s">
        <v>4139</v>
      </c>
    </row>
    <row r="1288" spans="2:13" x14ac:dyDescent="0.25">
      <c r="B1288" s="7" t="s">
        <v>3545</v>
      </c>
      <c r="C1288" s="7" t="s">
        <v>3752</v>
      </c>
      <c r="D1288" s="7" t="s">
        <v>661</v>
      </c>
      <c r="E1288" s="7" t="s">
        <v>3917</v>
      </c>
      <c r="F1288" s="7" t="s">
        <v>3744</v>
      </c>
      <c r="G1288" s="7"/>
      <c r="H1288" s="7"/>
      <c r="I1288" s="7"/>
      <c r="J1288" s="58">
        <v>16675</v>
      </c>
      <c r="K1288" s="58">
        <v>16675</v>
      </c>
      <c r="L1288" s="120">
        <f t="shared" si="77"/>
        <v>9938.2999999999993</v>
      </c>
      <c r="M1288" t="s">
        <v>4139</v>
      </c>
    </row>
    <row r="1289" spans="2:13" x14ac:dyDescent="0.25">
      <c r="B1289" s="7" t="s">
        <v>3546</v>
      </c>
      <c r="C1289" s="7" t="s">
        <v>3752</v>
      </c>
      <c r="D1289" s="7" t="s">
        <v>149</v>
      </c>
      <c r="E1289" s="7" t="s">
        <v>3809</v>
      </c>
      <c r="F1289" s="7" t="s">
        <v>3744</v>
      </c>
      <c r="G1289" s="7"/>
      <c r="H1289" s="7"/>
      <c r="I1289" s="7"/>
      <c r="J1289" s="58">
        <v>14178</v>
      </c>
      <c r="K1289" s="58">
        <v>14178</v>
      </c>
      <c r="L1289" s="120">
        <f t="shared" si="77"/>
        <v>8450.0879999999997</v>
      </c>
      <c r="M1289" t="s">
        <v>4139</v>
      </c>
    </row>
    <row r="1290" spans="2:13" x14ac:dyDescent="0.25">
      <c r="B1290" s="7" t="s">
        <v>3547</v>
      </c>
      <c r="C1290" s="7" t="s">
        <v>3752</v>
      </c>
      <c r="D1290" s="7" t="s">
        <v>662</v>
      </c>
      <c r="E1290" s="7" t="s">
        <v>3918</v>
      </c>
      <c r="F1290" s="7" t="s">
        <v>3744</v>
      </c>
      <c r="G1290" s="7"/>
      <c r="H1290" s="7"/>
      <c r="I1290" s="7"/>
      <c r="J1290" s="58">
        <v>14178</v>
      </c>
      <c r="K1290" s="58">
        <v>14178</v>
      </c>
      <c r="L1290" s="120">
        <f t="shared" si="77"/>
        <v>8450.0879999999997</v>
      </c>
      <c r="M1290" t="s">
        <v>4139</v>
      </c>
    </row>
    <row r="1291" spans="2:13" x14ac:dyDescent="0.25">
      <c r="B1291" s="7" t="s">
        <v>3548</v>
      </c>
      <c r="C1291" s="7" t="s">
        <v>3752</v>
      </c>
      <c r="D1291" s="7" t="s">
        <v>663</v>
      </c>
      <c r="E1291" s="7" t="s">
        <v>3919</v>
      </c>
      <c r="F1291" s="7" t="s">
        <v>3744</v>
      </c>
      <c r="G1291" s="7"/>
      <c r="H1291" s="7"/>
      <c r="I1291" s="7"/>
      <c r="J1291" s="58">
        <v>16675</v>
      </c>
      <c r="K1291" s="58">
        <v>16675</v>
      </c>
      <c r="L1291" s="120">
        <f t="shared" si="77"/>
        <v>9938.2999999999993</v>
      </c>
      <c r="M1291" t="s">
        <v>4139</v>
      </c>
    </row>
    <row r="1292" spans="2:13" x14ac:dyDescent="0.25">
      <c r="B1292" s="7" t="s">
        <v>3549</v>
      </c>
      <c r="C1292" s="7" t="s">
        <v>3752</v>
      </c>
      <c r="D1292" s="7" t="s">
        <v>664</v>
      </c>
      <c r="E1292" s="7" t="s">
        <v>3920</v>
      </c>
      <c r="F1292" s="7" t="s">
        <v>3744</v>
      </c>
      <c r="G1292" s="7"/>
      <c r="H1292" s="7"/>
      <c r="I1292" s="7"/>
      <c r="J1292" s="58">
        <v>16675</v>
      </c>
      <c r="K1292" s="58">
        <v>16675</v>
      </c>
      <c r="L1292" s="120">
        <f t="shared" si="77"/>
        <v>9938.2999999999993</v>
      </c>
      <c r="M1292" t="s">
        <v>4139</v>
      </c>
    </row>
    <row r="1293" spans="2:13" x14ac:dyDescent="0.25">
      <c r="B1293" s="7" t="s">
        <v>3550</v>
      </c>
      <c r="C1293" s="7" t="s">
        <v>3752</v>
      </c>
      <c r="D1293" s="7" t="s">
        <v>665</v>
      </c>
      <c r="E1293" s="7" t="s">
        <v>3921</v>
      </c>
      <c r="F1293" s="7" t="s">
        <v>3744</v>
      </c>
      <c r="G1293" s="7"/>
      <c r="H1293" s="7"/>
      <c r="I1293" s="7"/>
      <c r="J1293" s="58">
        <v>16675</v>
      </c>
      <c r="K1293" s="58">
        <v>16675</v>
      </c>
      <c r="L1293" s="120">
        <f t="shared" si="77"/>
        <v>9938.2999999999993</v>
      </c>
      <c r="M1293" t="s">
        <v>4139</v>
      </c>
    </row>
    <row r="1294" spans="2:13" x14ac:dyDescent="0.25">
      <c r="B1294" s="7" t="s">
        <v>3551</v>
      </c>
      <c r="C1294" s="7" t="s">
        <v>3752</v>
      </c>
      <c r="D1294" s="7" t="s">
        <v>666</v>
      </c>
      <c r="E1294" s="7" t="s">
        <v>3922</v>
      </c>
      <c r="F1294" s="7" t="s">
        <v>3744</v>
      </c>
      <c r="G1294" s="7"/>
      <c r="H1294" s="7"/>
      <c r="I1294" s="7"/>
      <c r="J1294" s="58">
        <v>16675</v>
      </c>
      <c r="K1294" s="58">
        <v>16675</v>
      </c>
      <c r="L1294" s="120">
        <f t="shared" si="77"/>
        <v>9938.2999999999993</v>
      </c>
      <c r="M1294" t="s">
        <v>4139</v>
      </c>
    </row>
    <row r="1295" spans="2:13" x14ac:dyDescent="0.25">
      <c r="B1295" s="7" t="s">
        <v>3552</v>
      </c>
      <c r="C1295" s="7" t="s">
        <v>3752</v>
      </c>
      <c r="D1295" s="7" t="s">
        <v>667</v>
      </c>
      <c r="E1295" s="7" t="s">
        <v>3923</v>
      </c>
      <c r="F1295" s="7" t="s">
        <v>3744</v>
      </c>
      <c r="G1295" s="7"/>
      <c r="H1295" s="7"/>
      <c r="I1295" s="7"/>
      <c r="J1295" s="58">
        <v>16675</v>
      </c>
      <c r="K1295" s="58">
        <v>16675</v>
      </c>
      <c r="L1295" s="120">
        <f t="shared" si="77"/>
        <v>9938.2999999999993</v>
      </c>
      <c r="M1295" t="s">
        <v>4139</v>
      </c>
    </row>
    <row r="1296" spans="2:13" x14ac:dyDescent="0.25">
      <c r="B1296" s="7" t="s">
        <v>3553</v>
      </c>
      <c r="C1296" s="7" t="s">
        <v>3752</v>
      </c>
      <c r="D1296" s="7" t="s">
        <v>668</v>
      </c>
      <c r="E1296" s="7" t="s">
        <v>3924</v>
      </c>
      <c r="F1296" s="7" t="s">
        <v>3744</v>
      </c>
      <c r="G1296" s="7"/>
      <c r="H1296" s="7"/>
      <c r="I1296" s="7"/>
      <c r="J1296" s="58">
        <v>16675</v>
      </c>
      <c r="K1296" s="58">
        <v>16675</v>
      </c>
      <c r="L1296" s="120">
        <f t="shared" si="77"/>
        <v>9938.2999999999993</v>
      </c>
      <c r="M1296" t="s">
        <v>4139</v>
      </c>
    </row>
    <row r="1297" spans="2:13" x14ac:dyDescent="0.25">
      <c r="B1297" s="7" t="s">
        <v>3554</v>
      </c>
      <c r="C1297" s="7" t="s">
        <v>3752</v>
      </c>
      <c r="D1297" s="7" t="s">
        <v>669</v>
      </c>
      <c r="E1297" s="7" t="s">
        <v>3925</v>
      </c>
      <c r="F1297" s="7" t="s">
        <v>3744</v>
      </c>
      <c r="G1297" s="7"/>
      <c r="H1297" s="7"/>
      <c r="I1297" s="7"/>
      <c r="J1297" s="58">
        <v>16675</v>
      </c>
      <c r="K1297" s="58">
        <v>16675</v>
      </c>
      <c r="L1297" s="120">
        <f t="shared" si="77"/>
        <v>9938.2999999999993</v>
      </c>
      <c r="M1297" t="s">
        <v>4139</v>
      </c>
    </row>
    <row r="1298" spans="2:13" x14ac:dyDescent="0.25">
      <c r="B1298" s="7" t="s">
        <v>3555</v>
      </c>
      <c r="C1298" s="7" t="s">
        <v>3752</v>
      </c>
      <c r="D1298" s="7" t="s">
        <v>670</v>
      </c>
      <c r="E1298" s="7" t="s">
        <v>3926</v>
      </c>
      <c r="F1298" s="7" t="s">
        <v>3744</v>
      </c>
      <c r="G1298" s="7"/>
      <c r="H1298" s="7"/>
      <c r="I1298" s="7"/>
      <c r="J1298" s="58">
        <v>16675</v>
      </c>
      <c r="K1298" s="58">
        <v>16675</v>
      </c>
      <c r="L1298" s="120">
        <f t="shared" si="77"/>
        <v>9938.2999999999993</v>
      </c>
      <c r="M1298" t="s">
        <v>4139</v>
      </c>
    </row>
    <row r="1299" spans="2:13" x14ac:dyDescent="0.25">
      <c r="B1299" s="7" t="s">
        <v>3556</v>
      </c>
      <c r="C1299" s="7" t="s">
        <v>3752</v>
      </c>
      <c r="D1299" s="7" t="s">
        <v>671</v>
      </c>
      <c r="E1299" s="7" t="s">
        <v>3927</v>
      </c>
      <c r="F1299" s="7" t="s">
        <v>3744</v>
      </c>
      <c r="G1299" s="7"/>
      <c r="H1299" s="7"/>
      <c r="I1299" s="7"/>
      <c r="J1299" s="58">
        <v>16675</v>
      </c>
      <c r="K1299" s="58">
        <v>16675</v>
      </c>
      <c r="L1299" s="120">
        <f t="shared" si="77"/>
        <v>9938.2999999999993</v>
      </c>
      <c r="M1299" t="s">
        <v>4139</v>
      </c>
    </row>
    <row r="1300" spans="2:13" x14ac:dyDescent="0.25">
      <c r="B1300" s="7" t="s">
        <v>3557</v>
      </c>
      <c r="C1300" s="7" t="s">
        <v>3752</v>
      </c>
      <c r="D1300" s="7" t="s">
        <v>672</v>
      </c>
      <c r="E1300" s="7" t="s">
        <v>3928</v>
      </c>
      <c r="F1300" s="7" t="s">
        <v>3744</v>
      </c>
      <c r="G1300" s="7"/>
      <c r="H1300" s="7"/>
      <c r="I1300" s="7"/>
      <c r="J1300" s="58">
        <v>16675</v>
      </c>
      <c r="K1300" s="58">
        <v>16675</v>
      </c>
      <c r="L1300" s="120">
        <f t="shared" si="77"/>
        <v>9938.2999999999993</v>
      </c>
      <c r="M1300" t="s">
        <v>4139</v>
      </c>
    </row>
    <row r="1301" spans="2:13" x14ac:dyDescent="0.25">
      <c r="B1301" s="7" t="s">
        <v>3558</v>
      </c>
      <c r="C1301" s="7" t="s">
        <v>3752</v>
      </c>
      <c r="D1301" s="7" t="s">
        <v>673</v>
      </c>
      <c r="E1301" s="7" t="s">
        <v>3929</v>
      </c>
      <c r="F1301" s="7" t="s">
        <v>3744</v>
      </c>
      <c r="G1301" s="7"/>
      <c r="H1301" s="7"/>
      <c r="I1301" s="7"/>
      <c r="J1301" s="58">
        <v>16675</v>
      </c>
      <c r="K1301" s="58">
        <v>16675</v>
      </c>
      <c r="L1301" s="120">
        <f t="shared" si="77"/>
        <v>9938.2999999999993</v>
      </c>
      <c r="M1301" t="s">
        <v>4139</v>
      </c>
    </row>
    <row r="1302" spans="2:13" x14ac:dyDescent="0.25">
      <c r="B1302" s="7" t="s">
        <v>3559</v>
      </c>
      <c r="C1302" s="7" t="s">
        <v>3752</v>
      </c>
      <c r="D1302" s="7" t="s">
        <v>674</v>
      </c>
      <c r="E1302" s="7" t="s">
        <v>3930</v>
      </c>
      <c r="F1302" s="7" t="s">
        <v>3744</v>
      </c>
      <c r="G1302" s="7"/>
      <c r="H1302" s="7"/>
      <c r="I1302" s="7"/>
      <c r="J1302" s="58">
        <v>14178</v>
      </c>
      <c r="K1302" s="58">
        <v>14178</v>
      </c>
      <c r="L1302" s="120">
        <f t="shared" si="77"/>
        <v>8450.0879999999997</v>
      </c>
      <c r="M1302" t="s">
        <v>4139</v>
      </c>
    </row>
    <row r="1303" spans="2:13" x14ac:dyDescent="0.25">
      <c r="B1303" s="7" t="s">
        <v>3560</v>
      </c>
      <c r="C1303" s="7" t="s">
        <v>3752</v>
      </c>
      <c r="D1303" s="7" t="s">
        <v>675</v>
      </c>
      <c r="E1303" s="7" t="s">
        <v>3931</v>
      </c>
      <c r="F1303" s="7" t="s">
        <v>3744</v>
      </c>
      <c r="G1303" s="7"/>
      <c r="H1303" s="7"/>
      <c r="I1303" s="7"/>
      <c r="J1303" s="58">
        <v>14178</v>
      </c>
      <c r="K1303" s="58">
        <v>14178</v>
      </c>
      <c r="L1303" s="120">
        <f t="shared" si="77"/>
        <v>8450.0879999999997</v>
      </c>
      <c r="M1303" t="s">
        <v>4139</v>
      </c>
    </row>
    <row r="1304" spans="2:13" x14ac:dyDescent="0.25">
      <c r="B1304" s="7" t="s">
        <v>3561</v>
      </c>
      <c r="C1304" s="7" t="s">
        <v>3752</v>
      </c>
      <c r="D1304" s="7" t="s">
        <v>676</v>
      </c>
      <c r="E1304" s="7" t="s">
        <v>3932</v>
      </c>
      <c r="F1304" s="7" t="s">
        <v>3744</v>
      </c>
      <c r="G1304" s="7"/>
      <c r="H1304" s="7"/>
      <c r="I1304" s="7"/>
      <c r="J1304" s="58">
        <v>16675</v>
      </c>
      <c r="K1304" s="58">
        <v>16675</v>
      </c>
      <c r="L1304" s="120">
        <f t="shared" si="77"/>
        <v>9938.2999999999993</v>
      </c>
      <c r="M1304" t="s">
        <v>4139</v>
      </c>
    </row>
    <row r="1305" spans="2:13" x14ac:dyDescent="0.25">
      <c r="B1305" s="7" t="s">
        <v>3562</v>
      </c>
      <c r="C1305" s="7" t="s">
        <v>3752</v>
      </c>
      <c r="D1305" s="7" t="s">
        <v>677</v>
      </c>
      <c r="E1305" s="7" t="s">
        <v>3933</v>
      </c>
      <c r="F1305" s="7" t="s">
        <v>3744</v>
      </c>
      <c r="G1305" s="7"/>
      <c r="H1305" s="7"/>
      <c r="I1305" s="7"/>
      <c r="J1305" s="58">
        <v>16675</v>
      </c>
      <c r="K1305" s="58">
        <v>16675</v>
      </c>
      <c r="L1305" s="120">
        <f t="shared" si="77"/>
        <v>9938.2999999999993</v>
      </c>
      <c r="M1305" t="s">
        <v>4139</v>
      </c>
    </row>
    <row r="1306" spans="2:13" x14ac:dyDescent="0.25">
      <c r="B1306" s="7" t="s">
        <v>3563</v>
      </c>
      <c r="C1306" s="7" t="s">
        <v>3752</v>
      </c>
      <c r="D1306" s="7" t="s">
        <v>678</v>
      </c>
      <c r="E1306" s="7" t="s">
        <v>3934</v>
      </c>
      <c r="F1306" s="7" t="s">
        <v>3744</v>
      </c>
      <c r="G1306" s="7"/>
      <c r="H1306" s="7"/>
      <c r="I1306" s="7"/>
      <c r="J1306" s="58">
        <v>16675</v>
      </c>
      <c r="K1306" s="58">
        <v>16675</v>
      </c>
      <c r="L1306" s="120">
        <f t="shared" si="77"/>
        <v>9938.2999999999993</v>
      </c>
      <c r="M1306" t="s">
        <v>4139</v>
      </c>
    </row>
    <row r="1307" spans="2:13" x14ac:dyDescent="0.25">
      <c r="B1307" s="7" t="s">
        <v>3564</v>
      </c>
      <c r="C1307" s="7" t="s">
        <v>3752</v>
      </c>
      <c r="D1307" s="7" t="s">
        <v>679</v>
      </c>
      <c r="E1307" s="7" t="s">
        <v>3935</v>
      </c>
      <c r="F1307" s="7" t="s">
        <v>3744</v>
      </c>
      <c r="G1307" s="7"/>
      <c r="H1307" s="7"/>
      <c r="I1307" s="7"/>
      <c r="J1307" s="58">
        <v>16675</v>
      </c>
      <c r="K1307" s="58">
        <v>16675</v>
      </c>
      <c r="L1307" s="120">
        <f t="shared" si="77"/>
        <v>9938.2999999999993</v>
      </c>
      <c r="M1307" t="s">
        <v>4139</v>
      </c>
    </row>
    <row r="1308" spans="2:13" x14ac:dyDescent="0.25">
      <c r="B1308" s="7" t="s">
        <v>3565</v>
      </c>
      <c r="C1308" s="7" t="s">
        <v>3752</v>
      </c>
      <c r="D1308" s="7" t="s">
        <v>680</v>
      </c>
      <c r="E1308" s="7" t="s">
        <v>3936</v>
      </c>
      <c r="F1308" s="7" t="s">
        <v>3744</v>
      </c>
      <c r="G1308" s="7"/>
      <c r="H1308" s="7"/>
      <c r="I1308" s="7"/>
      <c r="J1308" s="58">
        <v>16675</v>
      </c>
      <c r="K1308" s="58">
        <v>16675</v>
      </c>
      <c r="L1308" s="120">
        <f t="shared" si="77"/>
        <v>9938.2999999999993</v>
      </c>
      <c r="M1308" t="s">
        <v>4139</v>
      </c>
    </row>
    <row r="1309" spans="2:13" x14ac:dyDescent="0.25">
      <c r="B1309" s="7" t="s">
        <v>3566</v>
      </c>
      <c r="C1309" s="7" t="s">
        <v>3752</v>
      </c>
      <c r="D1309" s="7" t="s">
        <v>681</v>
      </c>
      <c r="E1309" s="7" t="s">
        <v>3937</v>
      </c>
      <c r="F1309" s="7" t="s">
        <v>3744</v>
      </c>
      <c r="G1309" s="7"/>
      <c r="H1309" s="7"/>
      <c r="I1309" s="7"/>
      <c r="J1309" s="58">
        <v>16675</v>
      </c>
      <c r="K1309" s="58">
        <v>16675</v>
      </c>
      <c r="L1309" s="120">
        <f t="shared" ref="L1309:L1372" si="78">K1309*0.596</f>
        <v>9938.2999999999993</v>
      </c>
      <c r="M1309" t="s">
        <v>4139</v>
      </c>
    </row>
    <row r="1310" spans="2:13" x14ac:dyDescent="0.25">
      <c r="B1310" s="7" t="s">
        <v>3567</v>
      </c>
      <c r="C1310" s="7" t="s">
        <v>3752</v>
      </c>
      <c r="D1310" s="7" t="s">
        <v>682</v>
      </c>
      <c r="E1310" s="7" t="s">
        <v>3938</v>
      </c>
      <c r="F1310" s="7" t="s">
        <v>3744</v>
      </c>
      <c r="G1310" s="7"/>
      <c r="H1310" s="7"/>
      <c r="I1310" s="7"/>
      <c r="J1310" s="58">
        <v>16675</v>
      </c>
      <c r="K1310" s="58">
        <v>16675</v>
      </c>
      <c r="L1310" s="120">
        <f t="shared" si="78"/>
        <v>9938.2999999999993</v>
      </c>
      <c r="M1310" t="s">
        <v>4139</v>
      </c>
    </row>
    <row r="1311" spans="2:13" x14ac:dyDescent="0.25">
      <c r="B1311" s="7" t="s">
        <v>3568</v>
      </c>
      <c r="C1311" s="7" t="s">
        <v>3752</v>
      </c>
      <c r="D1311" s="7" t="s">
        <v>683</v>
      </c>
      <c r="E1311" s="7" t="s">
        <v>3939</v>
      </c>
      <c r="F1311" s="7" t="s">
        <v>3744</v>
      </c>
      <c r="G1311" s="7"/>
      <c r="H1311" s="7"/>
      <c r="I1311" s="7"/>
      <c r="J1311" s="58">
        <v>16675</v>
      </c>
      <c r="K1311" s="58">
        <v>16675</v>
      </c>
      <c r="L1311" s="120">
        <f t="shared" si="78"/>
        <v>9938.2999999999993</v>
      </c>
      <c r="M1311" t="s">
        <v>4139</v>
      </c>
    </row>
    <row r="1312" spans="2:13" x14ac:dyDescent="0.25">
      <c r="B1312" s="7" t="s">
        <v>3569</v>
      </c>
      <c r="C1312" s="7" t="s">
        <v>3752</v>
      </c>
      <c r="D1312" s="7" t="s">
        <v>684</v>
      </c>
      <c r="E1312" s="7" t="s">
        <v>3940</v>
      </c>
      <c r="F1312" s="7" t="s">
        <v>3744</v>
      </c>
      <c r="G1312" s="7"/>
      <c r="H1312" s="7"/>
      <c r="I1312" s="7"/>
      <c r="J1312" s="58">
        <v>16675</v>
      </c>
      <c r="K1312" s="58">
        <v>16675</v>
      </c>
      <c r="L1312" s="120">
        <f t="shared" si="78"/>
        <v>9938.2999999999993</v>
      </c>
      <c r="M1312" t="s">
        <v>4139</v>
      </c>
    </row>
    <row r="1313" spans="1:13" x14ac:dyDescent="0.25">
      <c r="B1313" s="7" t="s">
        <v>3570</v>
      </c>
      <c r="C1313" s="7" t="s">
        <v>3752</v>
      </c>
      <c r="D1313" s="7" t="s">
        <v>685</v>
      </c>
      <c r="E1313" s="7" t="s">
        <v>3941</v>
      </c>
      <c r="F1313" s="7" t="s">
        <v>3744</v>
      </c>
      <c r="G1313" s="7"/>
      <c r="H1313" s="7"/>
      <c r="I1313" s="7"/>
      <c r="J1313" s="58">
        <v>16675</v>
      </c>
      <c r="K1313" s="58">
        <v>16675</v>
      </c>
      <c r="L1313" s="120">
        <f t="shared" si="78"/>
        <v>9938.2999999999993</v>
      </c>
      <c r="M1313" t="s">
        <v>4139</v>
      </c>
    </row>
    <row r="1314" spans="1:13" x14ac:dyDescent="0.25">
      <c r="B1314" s="7" t="s">
        <v>3571</v>
      </c>
      <c r="C1314" s="7" t="s">
        <v>3752</v>
      </c>
      <c r="D1314" s="7" t="s">
        <v>686</v>
      </c>
      <c r="E1314" s="7" t="s">
        <v>3942</v>
      </c>
      <c r="F1314" s="7" t="s">
        <v>3744</v>
      </c>
      <c r="G1314" s="7"/>
      <c r="H1314" s="7"/>
      <c r="I1314" s="7"/>
      <c r="J1314" s="58">
        <v>16675</v>
      </c>
      <c r="K1314" s="58">
        <v>16675</v>
      </c>
      <c r="L1314" s="120">
        <f t="shared" si="78"/>
        <v>9938.2999999999993</v>
      </c>
      <c r="M1314" t="s">
        <v>4139</v>
      </c>
    </row>
    <row r="1315" spans="1:13" x14ac:dyDescent="0.25">
      <c r="B1315" s="7" t="s">
        <v>3572</v>
      </c>
      <c r="C1315" s="7" t="s">
        <v>3752</v>
      </c>
      <c r="D1315" s="7" t="s">
        <v>687</v>
      </c>
      <c r="E1315" s="7" t="s">
        <v>3894</v>
      </c>
      <c r="F1315" s="7" t="s">
        <v>3744</v>
      </c>
      <c r="G1315" s="7"/>
      <c r="H1315" s="7"/>
      <c r="I1315" s="7"/>
      <c r="J1315" s="58">
        <v>14178</v>
      </c>
      <c r="K1315" s="58">
        <v>14178</v>
      </c>
      <c r="L1315" s="120">
        <f t="shared" si="78"/>
        <v>8450.0879999999997</v>
      </c>
      <c r="M1315" t="s">
        <v>4139</v>
      </c>
    </row>
    <row r="1316" spans="1:13" x14ac:dyDescent="0.25">
      <c r="B1316" s="7" t="s">
        <v>3573</v>
      </c>
      <c r="C1316" s="7" t="s">
        <v>3752</v>
      </c>
      <c r="D1316" s="7" t="s">
        <v>688</v>
      </c>
      <c r="E1316" s="7" t="s">
        <v>3895</v>
      </c>
      <c r="F1316" s="7" t="s">
        <v>3744</v>
      </c>
      <c r="G1316" s="7"/>
      <c r="H1316" s="7"/>
      <c r="I1316" s="7"/>
      <c r="J1316" s="58">
        <v>14178</v>
      </c>
      <c r="K1316" s="58">
        <v>14178</v>
      </c>
      <c r="L1316" s="120">
        <f t="shared" si="78"/>
        <v>8450.0879999999997</v>
      </c>
      <c r="M1316" t="s">
        <v>4139</v>
      </c>
    </row>
    <row r="1317" spans="1:13" x14ac:dyDescent="0.25">
      <c r="B1317" s="7" t="s">
        <v>3574</v>
      </c>
      <c r="C1317" s="7" t="s">
        <v>3752</v>
      </c>
      <c r="D1317" s="7" t="s">
        <v>689</v>
      </c>
      <c r="E1317" s="7" t="s">
        <v>3896</v>
      </c>
      <c r="F1317" s="7" t="s">
        <v>3744</v>
      </c>
      <c r="G1317" s="7"/>
      <c r="H1317" s="7"/>
      <c r="I1317" s="7"/>
      <c r="J1317" s="58">
        <v>16675</v>
      </c>
      <c r="K1317" s="58">
        <v>16675</v>
      </c>
      <c r="L1317" s="120">
        <f t="shared" si="78"/>
        <v>9938.2999999999993</v>
      </c>
      <c r="M1317" t="s">
        <v>4139</v>
      </c>
    </row>
    <row r="1318" spans="1:13" x14ac:dyDescent="0.25">
      <c r="B1318" s="7" t="s">
        <v>3575</v>
      </c>
      <c r="C1318" s="7" t="s">
        <v>3752</v>
      </c>
      <c r="D1318" s="7" t="s">
        <v>690</v>
      </c>
      <c r="E1318" s="7" t="s">
        <v>3897</v>
      </c>
      <c r="F1318" s="7" t="s">
        <v>3744</v>
      </c>
      <c r="G1318" s="7"/>
      <c r="H1318" s="7"/>
      <c r="I1318" s="7"/>
      <c r="J1318" s="58">
        <v>16675</v>
      </c>
      <c r="K1318" s="58">
        <v>16675</v>
      </c>
      <c r="L1318" s="120">
        <f t="shared" si="78"/>
        <v>9938.2999999999993</v>
      </c>
      <c r="M1318" t="s">
        <v>4139</v>
      </c>
    </row>
    <row r="1319" spans="1:13" x14ac:dyDescent="0.25">
      <c r="B1319" s="7" t="s">
        <v>3576</v>
      </c>
      <c r="C1319" s="7" t="s">
        <v>3752</v>
      </c>
      <c r="D1319" s="7" t="s">
        <v>691</v>
      </c>
      <c r="E1319" s="7" t="s">
        <v>3898</v>
      </c>
      <c r="F1319" s="7" t="s">
        <v>3744</v>
      </c>
      <c r="G1319" s="7"/>
      <c r="H1319" s="7"/>
      <c r="I1319" s="7"/>
      <c r="J1319" s="58">
        <v>16675</v>
      </c>
      <c r="K1319" s="58">
        <v>16675</v>
      </c>
      <c r="L1319" s="120">
        <f t="shared" si="78"/>
        <v>9938.2999999999993</v>
      </c>
      <c r="M1319" t="s">
        <v>4139</v>
      </c>
    </row>
    <row r="1320" spans="1:13" x14ac:dyDescent="0.25">
      <c r="B1320" s="7" t="s">
        <v>3577</v>
      </c>
      <c r="C1320" s="7" t="s">
        <v>3752</v>
      </c>
      <c r="D1320" s="7" t="s">
        <v>692</v>
      </c>
      <c r="E1320" s="7" t="s">
        <v>3899</v>
      </c>
      <c r="F1320" s="7" t="s">
        <v>3744</v>
      </c>
      <c r="G1320" s="7"/>
      <c r="H1320" s="7"/>
      <c r="I1320" s="7"/>
      <c r="J1320" s="58">
        <v>16675</v>
      </c>
      <c r="K1320" s="58">
        <v>16675</v>
      </c>
      <c r="L1320" s="120">
        <f t="shared" si="78"/>
        <v>9938.2999999999993</v>
      </c>
      <c r="M1320" t="s">
        <v>4139</v>
      </c>
    </row>
    <row r="1321" spans="1:13" x14ac:dyDescent="0.25">
      <c r="B1321" s="7" t="s">
        <v>3578</v>
      </c>
      <c r="C1321" s="7" t="s">
        <v>3752</v>
      </c>
      <c r="D1321" s="7" t="s">
        <v>693</v>
      </c>
      <c r="E1321" s="7" t="s">
        <v>3900</v>
      </c>
      <c r="F1321" s="7" t="s">
        <v>3744</v>
      </c>
      <c r="G1321" s="7"/>
      <c r="H1321" s="7"/>
      <c r="I1321" s="7"/>
      <c r="J1321" s="58">
        <v>16675</v>
      </c>
      <c r="K1321" s="58">
        <v>16675</v>
      </c>
      <c r="L1321" s="120">
        <f t="shared" si="78"/>
        <v>9938.2999999999993</v>
      </c>
      <c r="M1321" t="s">
        <v>4139</v>
      </c>
    </row>
    <row r="1322" spans="1:13" x14ac:dyDescent="0.25">
      <c r="B1322" s="7" t="s">
        <v>3579</v>
      </c>
      <c r="C1322" s="7" t="s">
        <v>3752</v>
      </c>
      <c r="D1322" s="7" t="s">
        <v>694</v>
      </c>
      <c r="E1322" s="7" t="s">
        <v>3901</v>
      </c>
      <c r="F1322" s="7" t="s">
        <v>3744</v>
      </c>
      <c r="G1322" s="7"/>
      <c r="H1322" s="7"/>
      <c r="I1322" s="7"/>
      <c r="J1322" s="58">
        <v>16675</v>
      </c>
      <c r="K1322" s="58">
        <v>16675</v>
      </c>
      <c r="L1322" s="120">
        <f t="shared" si="78"/>
        <v>9938.2999999999993</v>
      </c>
      <c r="M1322" t="s">
        <v>4139</v>
      </c>
    </row>
    <row r="1323" spans="1:13" x14ac:dyDescent="0.25">
      <c r="B1323" s="7" t="s">
        <v>3580</v>
      </c>
      <c r="C1323" s="7" t="s">
        <v>3752</v>
      </c>
      <c r="D1323" s="7" t="s">
        <v>695</v>
      </c>
      <c r="E1323" s="7" t="s">
        <v>3902</v>
      </c>
      <c r="F1323" s="7" t="s">
        <v>3744</v>
      </c>
      <c r="G1323" s="7"/>
      <c r="H1323" s="7"/>
      <c r="I1323" s="7"/>
      <c r="J1323" s="58">
        <v>16675</v>
      </c>
      <c r="K1323" s="58">
        <v>16675</v>
      </c>
      <c r="L1323" s="120">
        <f t="shared" si="78"/>
        <v>9938.2999999999993</v>
      </c>
      <c r="M1323" t="s">
        <v>4139</v>
      </c>
    </row>
    <row r="1324" spans="1:13" x14ac:dyDescent="0.25">
      <c r="B1324" s="7" t="s">
        <v>3581</v>
      </c>
      <c r="C1324" s="7" t="s">
        <v>3752</v>
      </c>
      <c r="D1324" s="7" t="s">
        <v>696</v>
      </c>
      <c r="E1324" s="7" t="s">
        <v>3903</v>
      </c>
      <c r="F1324" s="7" t="s">
        <v>3744</v>
      </c>
      <c r="G1324" s="7"/>
      <c r="H1324" s="7"/>
      <c r="I1324" s="7"/>
      <c r="J1324" s="58">
        <v>16675</v>
      </c>
      <c r="K1324" s="58">
        <v>16675</v>
      </c>
      <c r="L1324" s="120">
        <f t="shared" si="78"/>
        <v>9938.2999999999993</v>
      </c>
      <c r="M1324" t="s">
        <v>4139</v>
      </c>
    </row>
    <row r="1325" spans="1:13" x14ac:dyDescent="0.25">
      <c r="B1325" s="7" t="s">
        <v>3582</v>
      </c>
      <c r="C1325" s="7" t="s">
        <v>3752</v>
      </c>
      <c r="D1325" s="7" t="s">
        <v>697</v>
      </c>
      <c r="E1325" s="7" t="s">
        <v>3904</v>
      </c>
      <c r="F1325" s="7" t="s">
        <v>3744</v>
      </c>
      <c r="G1325" s="7"/>
      <c r="H1325" s="7"/>
      <c r="I1325" s="7"/>
      <c r="J1325" s="58">
        <v>16675</v>
      </c>
      <c r="K1325" s="58">
        <v>16675</v>
      </c>
      <c r="L1325" s="120">
        <f t="shared" si="78"/>
        <v>9938.2999999999993</v>
      </c>
      <c r="M1325" t="s">
        <v>4139</v>
      </c>
    </row>
    <row r="1326" spans="1:13" x14ac:dyDescent="0.25">
      <c r="B1326" s="7" t="s">
        <v>3583</v>
      </c>
      <c r="C1326" s="7" t="s">
        <v>3752</v>
      </c>
      <c r="D1326" s="7" t="s">
        <v>698</v>
      </c>
      <c r="E1326" s="7" t="s">
        <v>3905</v>
      </c>
      <c r="F1326" s="7" t="s">
        <v>3744</v>
      </c>
      <c r="G1326" s="7"/>
      <c r="H1326" s="7"/>
      <c r="I1326" s="7"/>
      <c r="J1326" s="58">
        <v>16675</v>
      </c>
      <c r="K1326" s="58">
        <v>16675</v>
      </c>
      <c r="L1326" s="120">
        <f t="shared" si="78"/>
        <v>9938.2999999999993</v>
      </c>
      <c r="M1326" t="s">
        <v>4139</v>
      </c>
    </row>
    <row r="1327" spans="1:13" x14ac:dyDescent="0.25">
      <c r="B1327" s="7" t="s">
        <v>3584</v>
      </c>
      <c r="C1327" s="7" t="s">
        <v>3752</v>
      </c>
      <c r="D1327" s="7" t="s">
        <v>699</v>
      </c>
      <c r="E1327" s="7" t="s">
        <v>3893</v>
      </c>
      <c r="F1327" s="7" t="s">
        <v>3744</v>
      </c>
      <c r="G1327" s="7"/>
      <c r="H1327" s="7"/>
      <c r="I1327" s="7"/>
      <c r="J1327" s="58">
        <v>16675</v>
      </c>
      <c r="K1327" s="58">
        <v>16675</v>
      </c>
      <c r="L1327" s="120">
        <f t="shared" si="78"/>
        <v>9938.2999999999993</v>
      </c>
      <c r="M1327" t="s">
        <v>4139</v>
      </c>
    </row>
    <row r="1328" spans="1:13" x14ac:dyDescent="0.25">
      <c r="A1328" s="63" t="s">
        <v>3999</v>
      </c>
      <c r="B1328" s="121" t="s">
        <v>3994</v>
      </c>
      <c r="C1328" s="68"/>
      <c r="D1328" s="63"/>
      <c r="E1328" s="64"/>
      <c r="F1328" s="63"/>
      <c r="G1328" s="65"/>
      <c r="H1328" s="70"/>
      <c r="I1328" s="70"/>
      <c r="J1328" s="122"/>
      <c r="K1328" s="70"/>
      <c r="L1328" s="126"/>
    </row>
    <row r="1329" spans="2:13" x14ac:dyDescent="0.25">
      <c r="B1329" s="7" t="s">
        <v>3585</v>
      </c>
      <c r="C1329" s="7" t="s">
        <v>3753</v>
      </c>
      <c r="D1329" s="7" t="s">
        <v>145</v>
      </c>
      <c r="E1329" s="7" t="s">
        <v>3798</v>
      </c>
      <c r="F1329" s="7" t="s">
        <v>3747</v>
      </c>
      <c r="G1329" s="7"/>
      <c r="H1329" s="7"/>
      <c r="I1329" s="7"/>
      <c r="J1329" s="58">
        <v>15717</v>
      </c>
      <c r="K1329" s="124">
        <f>J1329*1.11</f>
        <v>17445.870000000003</v>
      </c>
      <c r="L1329" s="120">
        <f t="shared" si="78"/>
        <v>10397.738520000001</v>
      </c>
      <c r="M1329" t="s">
        <v>4140</v>
      </c>
    </row>
    <row r="1330" spans="2:13" x14ac:dyDescent="0.25">
      <c r="B1330" s="7" t="s">
        <v>3586</v>
      </c>
      <c r="C1330" s="7" t="s">
        <v>3753</v>
      </c>
      <c r="D1330" s="7" t="s">
        <v>650</v>
      </c>
      <c r="E1330" s="7" t="s">
        <v>3906</v>
      </c>
      <c r="F1330" s="7" t="s">
        <v>3747</v>
      </c>
      <c r="G1330" s="7"/>
      <c r="H1330" s="7"/>
      <c r="I1330" s="7"/>
      <c r="J1330" s="58">
        <v>15717</v>
      </c>
      <c r="K1330" s="124">
        <f t="shared" ref="K1330:K1380" si="79">J1330*1.11</f>
        <v>17445.870000000003</v>
      </c>
      <c r="L1330" s="120">
        <f t="shared" si="78"/>
        <v>10397.738520000001</v>
      </c>
      <c r="M1330" t="s">
        <v>4140</v>
      </c>
    </row>
    <row r="1331" spans="2:13" x14ac:dyDescent="0.25">
      <c r="B1331" s="7" t="s">
        <v>3587</v>
      </c>
      <c r="C1331" s="7" t="s">
        <v>3753</v>
      </c>
      <c r="D1331" s="7" t="s">
        <v>651</v>
      </c>
      <c r="E1331" s="7" t="s">
        <v>3907</v>
      </c>
      <c r="F1331" s="7" t="s">
        <v>3747</v>
      </c>
      <c r="G1331" s="7"/>
      <c r="H1331" s="7"/>
      <c r="I1331" s="7"/>
      <c r="J1331" s="58">
        <v>18464</v>
      </c>
      <c r="K1331" s="124">
        <f t="shared" si="79"/>
        <v>20495.04</v>
      </c>
      <c r="L1331" s="120">
        <f t="shared" si="78"/>
        <v>12215.04384</v>
      </c>
      <c r="M1331" t="s">
        <v>4140</v>
      </c>
    </row>
    <row r="1332" spans="2:13" x14ac:dyDescent="0.25">
      <c r="B1332" s="7" t="s">
        <v>3588</v>
      </c>
      <c r="C1332" s="7" t="s">
        <v>3753</v>
      </c>
      <c r="D1332" s="7" t="s">
        <v>652</v>
      </c>
      <c r="E1332" s="7" t="s">
        <v>3908</v>
      </c>
      <c r="F1332" s="7" t="s">
        <v>3747</v>
      </c>
      <c r="G1332" s="7"/>
      <c r="H1332" s="7"/>
      <c r="I1332" s="7"/>
      <c r="J1332" s="58">
        <v>18464</v>
      </c>
      <c r="K1332" s="124">
        <f t="shared" si="79"/>
        <v>20495.04</v>
      </c>
      <c r="L1332" s="120">
        <f t="shared" si="78"/>
        <v>12215.04384</v>
      </c>
      <c r="M1332" t="s">
        <v>4140</v>
      </c>
    </row>
    <row r="1333" spans="2:13" x14ac:dyDescent="0.25">
      <c r="B1333" s="7" t="s">
        <v>3589</v>
      </c>
      <c r="C1333" s="7" t="s">
        <v>3753</v>
      </c>
      <c r="D1333" s="7" t="s">
        <v>653</v>
      </c>
      <c r="E1333" s="7" t="s">
        <v>3909</v>
      </c>
      <c r="F1333" s="7" t="s">
        <v>3747</v>
      </c>
      <c r="G1333" s="7"/>
      <c r="H1333" s="7"/>
      <c r="I1333" s="7"/>
      <c r="J1333" s="58">
        <v>18464</v>
      </c>
      <c r="K1333" s="124">
        <f t="shared" si="79"/>
        <v>20495.04</v>
      </c>
      <c r="L1333" s="120">
        <f t="shared" si="78"/>
        <v>12215.04384</v>
      </c>
      <c r="M1333" t="s">
        <v>4140</v>
      </c>
    </row>
    <row r="1334" spans="2:13" x14ac:dyDescent="0.25">
      <c r="B1334" s="7" t="s">
        <v>3590</v>
      </c>
      <c r="C1334" s="7" t="s">
        <v>3753</v>
      </c>
      <c r="D1334" s="7" t="s">
        <v>654</v>
      </c>
      <c r="E1334" s="7" t="s">
        <v>3910</v>
      </c>
      <c r="F1334" s="7" t="s">
        <v>3747</v>
      </c>
      <c r="G1334" s="7"/>
      <c r="H1334" s="7"/>
      <c r="I1334" s="7"/>
      <c r="J1334" s="58">
        <v>18464</v>
      </c>
      <c r="K1334" s="124">
        <f t="shared" si="79"/>
        <v>20495.04</v>
      </c>
      <c r="L1334" s="120">
        <f t="shared" si="78"/>
        <v>12215.04384</v>
      </c>
      <c r="M1334" t="s">
        <v>4140</v>
      </c>
    </row>
    <row r="1335" spans="2:13" x14ac:dyDescent="0.25">
      <c r="B1335" s="7" t="s">
        <v>3591</v>
      </c>
      <c r="C1335" s="7" t="s">
        <v>3753</v>
      </c>
      <c r="D1335" s="7" t="s">
        <v>655</v>
      </c>
      <c r="E1335" s="7" t="s">
        <v>3911</v>
      </c>
      <c r="F1335" s="7" t="s">
        <v>3747</v>
      </c>
      <c r="G1335" s="7"/>
      <c r="H1335" s="7"/>
      <c r="I1335" s="7"/>
      <c r="J1335" s="58">
        <v>18464</v>
      </c>
      <c r="K1335" s="124">
        <f t="shared" si="79"/>
        <v>20495.04</v>
      </c>
      <c r="L1335" s="120">
        <f t="shared" si="78"/>
        <v>12215.04384</v>
      </c>
      <c r="M1335" t="s">
        <v>4140</v>
      </c>
    </row>
    <row r="1336" spans="2:13" x14ac:dyDescent="0.25">
      <c r="B1336" s="7" t="s">
        <v>3592</v>
      </c>
      <c r="C1336" s="7" t="s">
        <v>3753</v>
      </c>
      <c r="D1336" s="7" t="s">
        <v>656</v>
      </c>
      <c r="E1336" s="7" t="s">
        <v>3912</v>
      </c>
      <c r="F1336" s="7" t="s">
        <v>3747</v>
      </c>
      <c r="G1336" s="7"/>
      <c r="H1336" s="7"/>
      <c r="I1336" s="7"/>
      <c r="J1336" s="58">
        <v>18464</v>
      </c>
      <c r="K1336" s="124">
        <f t="shared" si="79"/>
        <v>20495.04</v>
      </c>
      <c r="L1336" s="120">
        <f t="shared" si="78"/>
        <v>12215.04384</v>
      </c>
      <c r="M1336" t="s">
        <v>4140</v>
      </c>
    </row>
    <row r="1337" spans="2:13" x14ac:dyDescent="0.25">
      <c r="B1337" s="7" t="s">
        <v>3593</v>
      </c>
      <c r="C1337" s="7" t="s">
        <v>3753</v>
      </c>
      <c r="D1337" s="7" t="s">
        <v>657</v>
      </c>
      <c r="E1337" s="7" t="s">
        <v>3913</v>
      </c>
      <c r="F1337" s="7" t="s">
        <v>3747</v>
      </c>
      <c r="G1337" s="7"/>
      <c r="H1337" s="7"/>
      <c r="I1337" s="7"/>
      <c r="J1337" s="58">
        <v>18464</v>
      </c>
      <c r="K1337" s="124">
        <f t="shared" si="79"/>
        <v>20495.04</v>
      </c>
      <c r="L1337" s="120">
        <f t="shared" si="78"/>
        <v>12215.04384</v>
      </c>
      <c r="M1337" t="s">
        <v>4140</v>
      </c>
    </row>
    <row r="1338" spans="2:13" x14ac:dyDescent="0.25">
      <c r="B1338" s="7" t="s">
        <v>3594</v>
      </c>
      <c r="C1338" s="7" t="s">
        <v>3753</v>
      </c>
      <c r="D1338" s="7" t="s">
        <v>658</v>
      </c>
      <c r="E1338" s="7" t="s">
        <v>3914</v>
      </c>
      <c r="F1338" s="7" t="s">
        <v>3747</v>
      </c>
      <c r="G1338" s="7"/>
      <c r="H1338" s="7"/>
      <c r="I1338" s="7"/>
      <c r="J1338" s="58">
        <v>18464</v>
      </c>
      <c r="K1338" s="124">
        <f t="shared" si="79"/>
        <v>20495.04</v>
      </c>
      <c r="L1338" s="120">
        <f t="shared" si="78"/>
        <v>12215.04384</v>
      </c>
      <c r="M1338" t="s">
        <v>4140</v>
      </c>
    </row>
    <row r="1339" spans="2:13" x14ac:dyDescent="0.25">
      <c r="B1339" s="7" t="s">
        <v>3595</v>
      </c>
      <c r="C1339" s="7" t="s">
        <v>3753</v>
      </c>
      <c r="D1339" s="7" t="s">
        <v>659</v>
      </c>
      <c r="E1339" s="7" t="s">
        <v>3915</v>
      </c>
      <c r="F1339" s="7" t="s">
        <v>3747</v>
      </c>
      <c r="G1339" s="7"/>
      <c r="H1339" s="7"/>
      <c r="I1339" s="7"/>
      <c r="J1339" s="58">
        <v>18464</v>
      </c>
      <c r="K1339" s="124">
        <f t="shared" si="79"/>
        <v>20495.04</v>
      </c>
      <c r="L1339" s="120">
        <f t="shared" si="78"/>
        <v>12215.04384</v>
      </c>
      <c r="M1339" t="s">
        <v>4140</v>
      </c>
    </row>
    <row r="1340" spans="2:13" x14ac:dyDescent="0.25">
      <c r="B1340" s="7" t="s">
        <v>3596</v>
      </c>
      <c r="C1340" s="7" t="s">
        <v>3753</v>
      </c>
      <c r="D1340" s="7" t="s">
        <v>660</v>
      </c>
      <c r="E1340" s="7" t="s">
        <v>3916</v>
      </c>
      <c r="F1340" s="7" t="s">
        <v>3747</v>
      </c>
      <c r="G1340" s="7"/>
      <c r="H1340" s="7"/>
      <c r="I1340" s="7"/>
      <c r="J1340" s="58">
        <v>18464</v>
      </c>
      <c r="K1340" s="124">
        <f t="shared" si="79"/>
        <v>20495.04</v>
      </c>
      <c r="L1340" s="120">
        <f t="shared" si="78"/>
        <v>12215.04384</v>
      </c>
      <c r="M1340" t="s">
        <v>4140</v>
      </c>
    </row>
    <row r="1341" spans="2:13" x14ac:dyDescent="0.25">
      <c r="B1341" s="7" t="s">
        <v>3597</v>
      </c>
      <c r="C1341" s="7" t="s">
        <v>3753</v>
      </c>
      <c r="D1341" s="7" t="s">
        <v>661</v>
      </c>
      <c r="E1341" s="7" t="s">
        <v>3917</v>
      </c>
      <c r="F1341" s="7" t="s">
        <v>3747</v>
      </c>
      <c r="G1341" s="7"/>
      <c r="H1341" s="7"/>
      <c r="I1341" s="7"/>
      <c r="J1341" s="58">
        <v>18464</v>
      </c>
      <c r="K1341" s="124">
        <f t="shared" si="79"/>
        <v>20495.04</v>
      </c>
      <c r="L1341" s="120">
        <f t="shared" si="78"/>
        <v>12215.04384</v>
      </c>
      <c r="M1341" t="s">
        <v>4140</v>
      </c>
    </row>
    <row r="1342" spans="2:13" x14ac:dyDescent="0.25">
      <c r="B1342" s="7" t="s">
        <v>3598</v>
      </c>
      <c r="C1342" s="7" t="s">
        <v>3753</v>
      </c>
      <c r="D1342" s="7" t="s">
        <v>149</v>
      </c>
      <c r="E1342" s="7" t="s">
        <v>3809</v>
      </c>
      <c r="F1342" s="7" t="s">
        <v>3747</v>
      </c>
      <c r="G1342" s="7"/>
      <c r="H1342" s="7"/>
      <c r="I1342" s="7"/>
      <c r="J1342" s="58">
        <v>15717</v>
      </c>
      <c r="K1342" s="124">
        <f t="shared" si="79"/>
        <v>17445.870000000003</v>
      </c>
      <c r="L1342" s="120">
        <f t="shared" si="78"/>
        <v>10397.738520000001</v>
      </c>
      <c r="M1342" t="s">
        <v>4140</v>
      </c>
    </row>
    <row r="1343" spans="2:13" x14ac:dyDescent="0.25">
      <c r="B1343" s="7" t="s">
        <v>3599</v>
      </c>
      <c r="C1343" s="7" t="s">
        <v>3753</v>
      </c>
      <c r="D1343" s="7" t="s">
        <v>662</v>
      </c>
      <c r="E1343" s="7" t="s">
        <v>3918</v>
      </c>
      <c r="F1343" s="7" t="s">
        <v>3747</v>
      </c>
      <c r="G1343" s="7"/>
      <c r="H1343" s="7"/>
      <c r="I1343" s="7"/>
      <c r="J1343" s="58">
        <v>15717</v>
      </c>
      <c r="K1343" s="124">
        <f t="shared" si="79"/>
        <v>17445.870000000003</v>
      </c>
      <c r="L1343" s="120">
        <f t="shared" si="78"/>
        <v>10397.738520000001</v>
      </c>
      <c r="M1343" t="s">
        <v>4140</v>
      </c>
    </row>
    <row r="1344" spans="2:13" x14ac:dyDescent="0.25">
      <c r="B1344" s="7" t="s">
        <v>3600</v>
      </c>
      <c r="C1344" s="7" t="s">
        <v>3753</v>
      </c>
      <c r="D1344" s="7" t="s">
        <v>663</v>
      </c>
      <c r="E1344" s="7" t="s">
        <v>3919</v>
      </c>
      <c r="F1344" s="7" t="s">
        <v>3747</v>
      </c>
      <c r="G1344" s="7"/>
      <c r="H1344" s="7"/>
      <c r="I1344" s="7"/>
      <c r="J1344" s="58">
        <v>18464</v>
      </c>
      <c r="K1344" s="124">
        <f t="shared" si="79"/>
        <v>20495.04</v>
      </c>
      <c r="L1344" s="120">
        <f t="shared" si="78"/>
        <v>12215.04384</v>
      </c>
      <c r="M1344" t="s">
        <v>4140</v>
      </c>
    </row>
    <row r="1345" spans="2:13" x14ac:dyDescent="0.25">
      <c r="B1345" s="7" t="s">
        <v>3601</v>
      </c>
      <c r="C1345" s="7" t="s">
        <v>3753</v>
      </c>
      <c r="D1345" s="7" t="s">
        <v>664</v>
      </c>
      <c r="E1345" s="7" t="s">
        <v>3920</v>
      </c>
      <c r="F1345" s="7" t="s">
        <v>3747</v>
      </c>
      <c r="G1345" s="7"/>
      <c r="H1345" s="7"/>
      <c r="I1345" s="7"/>
      <c r="J1345" s="58">
        <v>18464</v>
      </c>
      <c r="K1345" s="124">
        <f t="shared" si="79"/>
        <v>20495.04</v>
      </c>
      <c r="L1345" s="120">
        <f t="shared" si="78"/>
        <v>12215.04384</v>
      </c>
      <c r="M1345" t="s">
        <v>4140</v>
      </c>
    </row>
    <row r="1346" spans="2:13" x14ac:dyDescent="0.25">
      <c r="B1346" s="7" t="s">
        <v>3602</v>
      </c>
      <c r="C1346" s="7" t="s">
        <v>3753</v>
      </c>
      <c r="D1346" s="7" t="s">
        <v>665</v>
      </c>
      <c r="E1346" s="7" t="s">
        <v>3921</v>
      </c>
      <c r="F1346" s="7" t="s">
        <v>3747</v>
      </c>
      <c r="G1346" s="7"/>
      <c r="H1346" s="7"/>
      <c r="I1346" s="7"/>
      <c r="J1346" s="58">
        <v>18464</v>
      </c>
      <c r="K1346" s="124">
        <f t="shared" si="79"/>
        <v>20495.04</v>
      </c>
      <c r="L1346" s="120">
        <f t="shared" si="78"/>
        <v>12215.04384</v>
      </c>
      <c r="M1346" t="s">
        <v>4140</v>
      </c>
    </row>
    <row r="1347" spans="2:13" x14ac:dyDescent="0.25">
      <c r="B1347" s="7" t="s">
        <v>3603</v>
      </c>
      <c r="C1347" s="7" t="s">
        <v>3753</v>
      </c>
      <c r="D1347" s="7" t="s">
        <v>666</v>
      </c>
      <c r="E1347" s="7" t="s">
        <v>3922</v>
      </c>
      <c r="F1347" s="7" t="s">
        <v>3747</v>
      </c>
      <c r="G1347" s="7"/>
      <c r="H1347" s="7"/>
      <c r="I1347" s="7"/>
      <c r="J1347" s="58">
        <v>18464</v>
      </c>
      <c r="K1347" s="124">
        <f t="shared" si="79"/>
        <v>20495.04</v>
      </c>
      <c r="L1347" s="120">
        <f t="shared" si="78"/>
        <v>12215.04384</v>
      </c>
      <c r="M1347" t="s">
        <v>4140</v>
      </c>
    </row>
    <row r="1348" spans="2:13" x14ac:dyDescent="0.25">
      <c r="B1348" s="7" t="s">
        <v>3604</v>
      </c>
      <c r="C1348" s="7" t="s">
        <v>3753</v>
      </c>
      <c r="D1348" s="7" t="s">
        <v>667</v>
      </c>
      <c r="E1348" s="7" t="s">
        <v>3923</v>
      </c>
      <c r="F1348" s="7" t="s">
        <v>3747</v>
      </c>
      <c r="G1348" s="7"/>
      <c r="H1348" s="7"/>
      <c r="I1348" s="7"/>
      <c r="J1348" s="58">
        <v>18464</v>
      </c>
      <c r="K1348" s="124">
        <f t="shared" si="79"/>
        <v>20495.04</v>
      </c>
      <c r="L1348" s="120">
        <f t="shared" si="78"/>
        <v>12215.04384</v>
      </c>
      <c r="M1348" t="s">
        <v>4140</v>
      </c>
    </row>
    <row r="1349" spans="2:13" x14ac:dyDescent="0.25">
      <c r="B1349" s="7" t="s">
        <v>3605</v>
      </c>
      <c r="C1349" s="7" t="s">
        <v>3753</v>
      </c>
      <c r="D1349" s="7" t="s">
        <v>668</v>
      </c>
      <c r="E1349" s="7" t="s">
        <v>3924</v>
      </c>
      <c r="F1349" s="7" t="s">
        <v>3747</v>
      </c>
      <c r="G1349" s="7"/>
      <c r="H1349" s="7"/>
      <c r="I1349" s="7"/>
      <c r="J1349" s="58">
        <v>18464</v>
      </c>
      <c r="K1349" s="124">
        <f t="shared" si="79"/>
        <v>20495.04</v>
      </c>
      <c r="L1349" s="120">
        <f t="shared" si="78"/>
        <v>12215.04384</v>
      </c>
      <c r="M1349" t="s">
        <v>4140</v>
      </c>
    </row>
    <row r="1350" spans="2:13" x14ac:dyDescent="0.25">
      <c r="B1350" s="7" t="s">
        <v>3606</v>
      </c>
      <c r="C1350" s="7" t="s">
        <v>3753</v>
      </c>
      <c r="D1350" s="7" t="s">
        <v>669</v>
      </c>
      <c r="E1350" s="7" t="s">
        <v>3925</v>
      </c>
      <c r="F1350" s="7" t="s">
        <v>3747</v>
      </c>
      <c r="G1350" s="7"/>
      <c r="H1350" s="7"/>
      <c r="I1350" s="7"/>
      <c r="J1350" s="58">
        <v>18464</v>
      </c>
      <c r="K1350" s="124">
        <f t="shared" si="79"/>
        <v>20495.04</v>
      </c>
      <c r="L1350" s="120">
        <f t="shared" si="78"/>
        <v>12215.04384</v>
      </c>
      <c r="M1350" t="s">
        <v>4140</v>
      </c>
    </row>
    <row r="1351" spans="2:13" x14ac:dyDescent="0.25">
      <c r="B1351" s="7" t="s">
        <v>3607</v>
      </c>
      <c r="C1351" s="7" t="s">
        <v>3753</v>
      </c>
      <c r="D1351" s="7" t="s">
        <v>670</v>
      </c>
      <c r="E1351" s="7" t="s">
        <v>3926</v>
      </c>
      <c r="F1351" s="7" t="s">
        <v>3747</v>
      </c>
      <c r="G1351" s="7"/>
      <c r="H1351" s="7"/>
      <c r="I1351" s="7"/>
      <c r="J1351" s="58">
        <v>18464</v>
      </c>
      <c r="K1351" s="124">
        <f t="shared" si="79"/>
        <v>20495.04</v>
      </c>
      <c r="L1351" s="120">
        <f t="shared" si="78"/>
        <v>12215.04384</v>
      </c>
      <c r="M1351" t="s">
        <v>4140</v>
      </c>
    </row>
    <row r="1352" spans="2:13" x14ac:dyDescent="0.25">
      <c r="B1352" s="7" t="s">
        <v>3608</v>
      </c>
      <c r="C1352" s="7" t="s">
        <v>3753</v>
      </c>
      <c r="D1352" s="7" t="s">
        <v>671</v>
      </c>
      <c r="E1352" s="7" t="s">
        <v>3927</v>
      </c>
      <c r="F1352" s="7" t="s">
        <v>3747</v>
      </c>
      <c r="G1352" s="7"/>
      <c r="H1352" s="7"/>
      <c r="I1352" s="7"/>
      <c r="J1352" s="58">
        <v>18464</v>
      </c>
      <c r="K1352" s="124">
        <f t="shared" si="79"/>
        <v>20495.04</v>
      </c>
      <c r="L1352" s="120">
        <f t="shared" si="78"/>
        <v>12215.04384</v>
      </c>
      <c r="M1352" t="s">
        <v>4140</v>
      </c>
    </row>
    <row r="1353" spans="2:13" x14ac:dyDescent="0.25">
      <c r="B1353" s="7" t="s">
        <v>3609</v>
      </c>
      <c r="C1353" s="7" t="s">
        <v>3753</v>
      </c>
      <c r="D1353" s="7" t="s">
        <v>672</v>
      </c>
      <c r="E1353" s="7" t="s">
        <v>3928</v>
      </c>
      <c r="F1353" s="7" t="s">
        <v>3747</v>
      </c>
      <c r="G1353" s="7"/>
      <c r="H1353" s="7"/>
      <c r="I1353" s="7"/>
      <c r="J1353" s="58">
        <v>18464</v>
      </c>
      <c r="K1353" s="124">
        <f t="shared" si="79"/>
        <v>20495.04</v>
      </c>
      <c r="L1353" s="120">
        <f t="shared" si="78"/>
        <v>12215.04384</v>
      </c>
      <c r="M1353" t="s">
        <v>4140</v>
      </c>
    </row>
    <row r="1354" spans="2:13" x14ac:dyDescent="0.25">
      <c r="B1354" s="7" t="s">
        <v>3610</v>
      </c>
      <c r="C1354" s="7" t="s">
        <v>3753</v>
      </c>
      <c r="D1354" s="7" t="s">
        <v>673</v>
      </c>
      <c r="E1354" s="7" t="s">
        <v>3929</v>
      </c>
      <c r="F1354" s="7" t="s">
        <v>3747</v>
      </c>
      <c r="G1354" s="7"/>
      <c r="H1354" s="7"/>
      <c r="I1354" s="7"/>
      <c r="J1354" s="58">
        <v>18464</v>
      </c>
      <c r="K1354" s="124">
        <f t="shared" si="79"/>
        <v>20495.04</v>
      </c>
      <c r="L1354" s="120">
        <f t="shared" si="78"/>
        <v>12215.04384</v>
      </c>
      <c r="M1354" t="s">
        <v>4140</v>
      </c>
    </row>
    <row r="1355" spans="2:13" x14ac:dyDescent="0.25">
      <c r="B1355" s="7" t="s">
        <v>3611</v>
      </c>
      <c r="C1355" s="7" t="s">
        <v>3753</v>
      </c>
      <c r="D1355" s="7" t="s">
        <v>674</v>
      </c>
      <c r="E1355" s="7" t="s">
        <v>3930</v>
      </c>
      <c r="F1355" s="7" t="s">
        <v>3747</v>
      </c>
      <c r="G1355" s="7"/>
      <c r="H1355" s="7"/>
      <c r="I1355" s="7"/>
      <c r="J1355" s="58">
        <v>15717</v>
      </c>
      <c r="K1355" s="124">
        <f t="shared" si="79"/>
        <v>17445.870000000003</v>
      </c>
      <c r="L1355" s="120">
        <f t="shared" si="78"/>
        <v>10397.738520000001</v>
      </c>
      <c r="M1355" t="s">
        <v>4140</v>
      </c>
    </row>
    <row r="1356" spans="2:13" x14ac:dyDescent="0.25">
      <c r="B1356" s="7" t="s">
        <v>3612</v>
      </c>
      <c r="C1356" s="7" t="s">
        <v>3753</v>
      </c>
      <c r="D1356" s="7" t="s">
        <v>675</v>
      </c>
      <c r="E1356" s="7" t="s">
        <v>3931</v>
      </c>
      <c r="F1356" s="7" t="s">
        <v>3747</v>
      </c>
      <c r="G1356" s="7"/>
      <c r="H1356" s="7"/>
      <c r="I1356" s="7"/>
      <c r="J1356" s="58">
        <v>15717</v>
      </c>
      <c r="K1356" s="124">
        <f t="shared" si="79"/>
        <v>17445.870000000003</v>
      </c>
      <c r="L1356" s="120">
        <f t="shared" si="78"/>
        <v>10397.738520000001</v>
      </c>
      <c r="M1356" t="s">
        <v>4140</v>
      </c>
    </row>
    <row r="1357" spans="2:13" x14ac:dyDescent="0.25">
      <c r="B1357" s="7" t="s">
        <v>3613</v>
      </c>
      <c r="C1357" s="7" t="s">
        <v>3753</v>
      </c>
      <c r="D1357" s="7" t="s">
        <v>676</v>
      </c>
      <c r="E1357" s="7" t="s">
        <v>3932</v>
      </c>
      <c r="F1357" s="7" t="s">
        <v>3747</v>
      </c>
      <c r="G1357" s="7"/>
      <c r="H1357" s="7"/>
      <c r="I1357" s="7"/>
      <c r="J1357" s="58">
        <v>18464</v>
      </c>
      <c r="K1357" s="124">
        <f t="shared" si="79"/>
        <v>20495.04</v>
      </c>
      <c r="L1357" s="120">
        <f t="shared" si="78"/>
        <v>12215.04384</v>
      </c>
      <c r="M1357" t="s">
        <v>4140</v>
      </c>
    </row>
    <row r="1358" spans="2:13" x14ac:dyDescent="0.25">
      <c r="B1358" s="7" t="s">
        <v>3614</v>
      </c>
      <c r="C1358" s="7" t="s">
        <v>3753</v>
      </c>
      <c r="D1358" s="7" t="s">
        <v>677</v>
      </c>
      <c r="E1358" s="7" t="s">
        <v>3933</v>
      </c>
      <c r="F1358" s="7" t="s">
        <v>3747</v>
      </c>
      <c r="G1358" s="7"/>
      <c r="H1358" s="7"/>
      <c r="I1358" s="7"/>
      <c r="J1358" s="58">
        <v>18464</v>
      </c>
      <c r="K1358" s="124">
        <f t="shared" si="79"/>
        <v>20495.04</v>
      </c>
      <c r="L1358" s="120">
        <f t="shared" si="78"/>
        <v>12215.04384</v>
      </c>
      <c r="M1358" t="s">
        <v>4140</v>
      </c>
    </row>
    <row r="1359" spans="2:13" x14ac:dyDescent="0.25">
      <c r="B1359" s="7" t="s">
        <v>3615</v>
      </c>
      <c r="C1359" s="7" t="s">
        <v>3753</v>
      </c>
      <c r="D1359" s="7" t="s">
        <v>678</v>
      </c>
      <c r="E1359" s="7" t="s">
        <v>3934</v>
      </c>
      <c r="F1359" s="7" t="s">
        <v>3747</v>
      </c>
      <c r="G1359" s="7"/>
      <c r="H1359" s="7"/>
      <c r="I1359" s="7"/>
      <c r="J1359" s="58">
        <v>18464</v>
      </c>
      <c r="K1359" s="124">
        <f t="shared" si="79"/>
        <v>20495.04</v>
      </c>
      <c r="L1359" s="120">
        <f t="shared" si="78"/>
        <v>12215.04384</v>
      </c>
      <c r="M1359" t="s">
        <v>4140</v>
      </c>
    </row>
    <row r="1360" spans="2:13" x14ac:dyDescent="0.25">
      <c r="B1360" s="7" t="s">
        <v>3616</v>
      </c>
      <c r="C1360" s="7" t="s">
        <v>3753</v>
      </c>
      <c r="D1360" s="7" t="s">
        <v>679</v>
      </c>
      <c r="E1360" s="7" t="s">
        <v>3935</v>
      </c>
      <c r="F1360" s="7" t="s">
        <v>3747</v>
      </c>
      <c r="G1360" s="7"/>
      <c r="H1360" s="7"/>
      <c r="I1360" s="7"/>
      <c r="J1360" s="58">
        <v>18464</v>
      </c>
      <c r="K1360" s="124">
        <f t="shared" si="79"/>
        <v>20495.04</v>
      </c>
      <c r="L1360" s="120">
        <f t="shared" si="78"/>
        <v>12215.04384</v>
      </c>
      <c r="M1360" t="s">
        <v>4140</v>
      </c>
    </row>
    <row r="1361" spans="2:13" x14ac:dyDescent="0.25">
      <c r="B1361" s="7" t="s">
        <v>3617</v>
      </c>
      <c r="C1361" s="7" t="s">
        <v>3753</v>
      </c>
      <c r="D1361" s="7" t="s">
        <v>680</v>
      </c>
      <c r="E1361" s="7" t="s">
        <v>3936</v>
      </c>
      <c r="F1361" s="7" t="s">
        <v>3747</v>
      </c>
      <c r="G1361" s="7"/>
      <c r="H1361" s="7"/>
      <c r="I1361" s="7"/>
      <c r="J1361" s="58">
        <v>18464</v>
      </c>
      <c r="K1361" s="124">
        <f t="shared" si="79"/>
        <v>20495.04</v>
      </c>
      <c r="L1361" s="120">
        <f t="shared" si="78"/>
        <v>12215.04384</v>
      </c>
      <c r="M1361" t="s">
        <v>4140</v>
      </c>
    </row>
    <row r="1362" spans="2:13" x14ac:dyDescent="0.25">
      <c r="B1362" s="7" t="s">
        <v>3618</v>
      </c>
      <c r="C1362" s="7" t="s">
        <v>3753</v>
      </c>
      <c r="D1362" s="7" t="s">
        <v>681</v>
      </c>
      <c r="E1362" s="7" t="s">
        <v>3937</v>
      </c>
      <c r="F1362" s="7" t="s">
        <v>3747</v>
      </c>
      <c r="G1362" s="7"/>
      <c r="H1362" s="7"/>
      <c r="I1362" s="7"/>
      <c r="J1362" s="58">
        <v>18464</v>
      </c>
      <c r="K1362" s="124">
        <f t="shared" si="79"/>
        <v>20495.04</v>
      </c>
      <c r="L1362" s="120">
        <f t="shared" si="78"/>
        <v>12215.04384</v>
      </c>
      <c r="M1362" t="s">
        <v>4140</v>
      </c>
    </row>
    <row r="1363" spans="2:13" x14ac:dyDescent="0.25">
      <c r="B1363" s="7" t="s">
        <v>3619</v>
      </c>
      <c r="C1363" s="7" t="s">
        <v>3753</v>
      </c>
      <c r="D1363" s="7" t="s">
        <v>682</v>
      </c>
      <c r="E1363" s="7" t="s">
        <v>3938</v>
      </c>
      <c r="F1363" s="7" t="s">
        <v>3747</v>
      </c>
      <c r="G1363" s="7"/>
      <c r="H1363" s="7"/>
      <c r="I1363" s="7"/>
      <c r="J1363" s="58">
        <v>18464</v>
      </c>
      <c r="K1363" s="124">
        <f t="shared" si="79"/>
        <v>20495.04</v>
      </c>
      <c r="L1363" s="120">
        <f t="shared" si="78"/>
        <v>12215.04384</v>
      </c>
      <c r="M1363" t="s">
        <v>4140</v>
      </c>
    </row>
    <row r="1364" spans="2:13" x14ac:dyDescent="0.25">
      <c r="B1364" s="7" t="s">
        <v>3620</v>
      </c>
      <c r="C1364" s="7" t="s">
        <v>3753</v>
      </c>
      <c r="D1364" s="7" t="s">
        <v>683</v>
      </c>
      <c r="E1364" s="7" t="s">
        <v>3939</v>
      </c>
      <c r="F1364" s="7" t="s">
        <v>3747</v>
      </c>
      <c r="G1364" s="7"/>
      <c r="H1364" s="7"/>
      <c r="I1364" s="7"/>
      <c r="J1364" s="58">
        <v>18464</v>
      </c>
      <c r="K1364" s="124">
        <f t="shared" si="79"/>
        <v>20495.04</v>
      </c>
      <c r="L1364" s="120">
        <f t="shared" si="78"/>
        <v>12215.04384</v>
      </c>
      <c r="M1364" t="s">
        <v>4140</v>
      </c>
    </row>
    <row r="1365" spans="2:13" x14ac:dyDescent="0.25">
      <c r="B1365" s="7" t="s">
        <v>3621</v>
      </c>
      <c r="C1365" s="7" t="s">
        <v>3753</v>
      </c>
      <c r="D1365" s="7" t="s">
        <v>684</v>
      </c>
      <c r="E1365" s="7" t="s">
        <v>3940</v>
      </c>
      <c r="F1365" s="7" t="s">
        <v>3747</v>
      </c>
      <c r="G1365" s="7"/>
      <c r="H1365" s="7"/>
      <c r="I1365" s="7"/>
      <c r="J1365" s="58">
        <v>18464</v>
      </c>
      <c r="K1365" s="124">
        <f t="shared" si="79"/>
        <v>20495.04</v>
      </c>
      <c r="L1365" s="120">
        <f t="shared" si="78"/>
        <v>12215.04384</v>
      </c>
      <c r="M1365" t="s">
        <v>4140</v>
      </c>
    </row>
    <row r="1366" spans="2:13" x14ac:dyDescent="0.25">
      <c r="B1366" s="7" t="s">
        <v>3622</v>
      </c>
      <c r="C1366" s="7" t="s">
        <v>3753</v>
      </c>
      <c r="D1366" s="7" t="s">
        <v>685</v>
      </c>
      <c r="E1366" s="7" t="s">
        <v>3941</v>
      </c>
      <c r="F1366" s="7" t="s">
        <v>3747</v>
      </c>
      <c r="G1366" s="7"/>
      <c r="H1366" s="7"/>
      <c r="I1366" s="7"/>
      <c r="J1366" s="58">
        <v>18464</v>
      </c>
      <c r="K1366" s="124">
        <f t="shared" si="79"/>
        <v>20495.04</v>
      </c>
      <c r="L1366" s="120">
        <f t="shared" si="78"/>
        <v>12215.04384</v>
      </c>
      <c r="M1366" t="s">
        <v>4140</v>
      </c>
    </row>
    <row r="1367" spans="2:13" x14ac:dyDescent="0.25">
      <c r="B1367" s="7" t="s">
        <v>3623</v>
      </c>
      <c r="C1367" s="7" t="s">
        <v>3753</v>
      </c>
      <c r="D1367" s="7" t="s">
        <v>686</v>
      </c>
      <c r="E1367" s="7" t="s">
        <v>3942</v>
      </c>
      <c r="F1367" s="7" t="s">
        <v>3747</v>
      </c>
      <c r="G1367" s="7"/>
      <c r="H1367" s="7"/>
      <c r="I1367" s="7"/>
      <c r="J1367" s="58">
        <v>18464</v>
      </c>
      <c r="K1367" s="124">
        <f t="shared" si="79"/>
        <v>20495.04</v>
      </c>
      <c r="L1367" s="120">
        <f t="shared" si="78"/>
        <v>12215.04384</v>
      </c>
      <c r="M1367" t="s">
        <v>4140</v>
      </c>
    </row>
    <row r="1368" spans="2:13" x14ac:dyDescent="0.25">
      <c r="B1368" s="7" t="s">
        <v>3624</v>
      </c>
      <c r="C1368" s="7" t="s">
        <v>3753</v>
      </c>
      <c r="D1368" s="7" t="s">
        <v>687</v>
      </c>
      <c r="E1368" s="7" t="s">
        <v>3894</v>
      </c>
      <c r="F1368" s="7" t="s">
        <v>3747</v>
      </c>
      <c r="G1368" s="7"/>
      <c r="H1368" s="7"/>
      <c r="I1368" s="7"/>
      <c r="J1368" s="58">
        <v>15717</v>
      </c>
      <c r="K1368" s="124">
        <f t="shared" si="79"/>
        <v>17445.870000000003</v>
      </c>
      <c r="L1368" s="120">
        <f t="shared" si="78"/>
        <v>10397.738520000001</v>
      </c>
      <c r="M1368" t="s">
        <v>4140</v>
      </c>
    </row>
    <row r="1369" spans="2:13" x14ac:dyDescent="0.25">
      <c r="B1369" s="7" t="s">
        <v>3625</v>
      </c>
      <c r="C1369" s="7" t="s">
        <v>3753</v>
      </c>
      <c r="D1369" s="7" t="s">
        <v>688</v>
      </c>
      <c r="E1369" s="7" t="s">
        <v>3895</v>
      </c>
      <c r="F1369" s="7" t="s">
        <v>3747</v>
      </c>
      <c r="G1369" s="7"/>
      <c r="H1369" s="7"/>
      <c r="I1369" s="7"/>
      <c r="J1369" s="58">
        <v>15717</v>
      </c>
      <c r="K1369" s="124">
        <f t="shared" si="79"/>
        <v>17445.870000000003</v>
      </c>
      <c r="L1369" s="120">
        <f t="shared" si="78"/>
        <v>10397.738520000001</v>
      </c>
      <c r="M1369" t="s">
        <v>4140</v>
      </c>
    </row>
    <row r="1370" spans="2:13" x14ac:dyDescent="0.25">
      <c r="B1370" s="7" t="s">
        <v>3626</v>
      </c>
      <c r="C1370" s="7" t="s">
        <v>3753</v>
      </c>
      <c r="D1370" s="7" t="s">
        <v>689</v>
      </c>
      <c r="E1370" s="7" t="s">
        <v>3896</v>
      </c>
      <c r="F1370" s="7" t="s">
        <v>3747</v>
      </c>
      <c r="G1370" s="7"/>
      <c r="H1370" s="7"/>
      <c r="I1370" s="7"/>
      <c r="J1370" s="58">
        <v>18464</v>
      </c>
      <c r="K1370" s="124">
        <f t="shared" si="79"/>
        <v>20495.04</v>
      </c>
      <c r="L1370" s="120">
        <f t="shared" si="78"/>
        <v>12215.04384</v>
      </c>
      <c r="M1370" t="s">
        <v>4140</v>
      </c>
    </row>
    <row r="1371" spans="2:13" x14ac:dyDescent="0.25">
      <c r="B1371" s="7" t="s">
        <v>3627</v>
      </c>
      <c r="C1371" s="7" t="s">
        <v>3753</v>
      </c>
      <c r="D1371" s="7" t="s">
        <v>690</v>
      </c>
      <c r="E1371" s="7" t="s">
        <v>3897</v>
      </c>
      <c r="F1371" s="7" t="s">
        <v>3747</v>
      </c>
      <c r="G1371" s="7"/>
      <c r="H1371" s="7"/>
      <c r="I1371" s="7"/>
      <c r="J1371" s="58">
        <v>18464</v>
      </c>
      <c r="K1371" s="124">
        <f t="shared" si="79"/>
        <v>20495.04</v>
      </c>
      <c r="L1371" s="120">
        <f t="shared" si="78"/>
        <v>12215.04384</v>
      </c>
      <c r="M1371" t="s">
        <v>4140</v>
      </c>
    </row>
    <row r="1372" spans="2:13" x14ac:dyDescent="0.25">
      <c r="B1372" s="7" t="s">
        <v>3628</v>
      </c>
      <c r="C1372" s="7" t="s">
        <v>3753</v>
      </c>
      <c r="D1372" s="7" t="s">
        <v>691</v>
      </c>
      <c r="E1372" s="7" t="s">
        <v>3898</v>
      </c>
      <c r="F1372" s="7" t="s">
        <v>3747</v>
      </c>
      <c r="G1372" s="7"/>
      <c r="H1372" s="7"/>
      <c r="I1372" s="7"/>
      <c r="J1372" s="58">
        <v>18464</v>
      </c>
      <c r="K1372" s="124">
        <f t="shared" si="79"/>
        <v>20495.04</v>
      </c>
      <c r="L1372" s="120">
        <f t="shared" si="78"/>
        <v>12215.04384</v>
      </c>
      <c r="M1372" t="s">
        <v>4140</v>
      </c>
    </row>
    <row r="1373" spans="2:13" x14ac:dyDescent="0.25">
      <c r="B1373" s="7" t="s">
        <v>3629</v>
      </c>
      <c r="C1373" s="7" t="s">
        <v>3753</v>
      </c>
      <c r="D1373" s="7" t="s">
        <v>692</v>
      </c>
      <c r="E1373" s="7" t="s">
        <v>3899</v>
      </c>
      <c r="F1373" s="7" t="s">
        <v>3747</v>
      </c>
      <c r="G1373" s="7"/>
      <c r="H1373" s="7"/>
      <c r="I1373" s="7"/>
      <c r="J1373" s="58">
        <v>18464</v>
      </c>
      <c r="K1373" s="124">
        <f t="shared" si="79"/>
        <v>20495.04</v>
      </c>
      <c r="L1373" s="120">
        <f t="shared" ref="L1373:L1436" si="80">K1373*0.596</f>
        <v>12215.04384</v>
      </c>
      <c r="M1373" t="s">
        <v>4140</v>
      </c>
    </row>
    <row r="1374" spans="2:13" x14ac:dyDescent="0.25">
      <c r="B1374" s="7" t="s">
        <v>3630</v>
      </c>
      <c r="C1374" s="7" t="s">
        <v>3753</v>
      </c>
      <c r="D1374" s="7" t="s">
        <v>693</v>
      </c>
      <c r="E1374" s="7" t="s">
        <v>3900</v>
      </c>
      <c r="F1374" s="7" t="s">
        <v>3747</v>
      </c>
      <c r="G1374" s="7"/>
      <c r="H1374" s="7"/>
      <c r="I1374" s="7"/>
      <c r="J1374" s="58">
        <v>18464</v>
      </c>
      <c r="K1374" s="124">
        <f t="shared" si="79"/>
        <v>20495.04</v>
      </c>
      <c r="L1374" s="120">
        <f t="shared" si="80"/>
        <v>12215.04384</v>
      </c>
      <c r="M1374" t="s">
        <v>4140</v>
      </c>
    </row>
    <row r="1375" spans="2:13" x14ac:dyDescent="0.25">
      <c r="B1375" s="7" t="s">
        <v>3631</v>
      </c>
      <c r="C1375" s="7" t="s">
        <v>3753</v>
      </c>
      <c r="D1375" s="7" t="s">
        <v>694</v>
      </c>
      <c r="E1375" s="7" t="s">
        <v>3901</v>
      </c>
      <c r="F1375" s="7" t="s">
        <v>3747</v>
      </c>
      <c r="G1375" s="7"/>
      <c r="H1375" s="7"/>
      <c r="I1375" s="7"/>
      <c r="J1375" s="58">
        <v>18464</v>
      </c>
      <c r="K1375" s="124">
        <f t="shared" si="79"/>
        <v>20495.04</v>
      </c>
      <c r="L1375" s="120">
        <f t="shared" si="80"/>
        <v>12215.04384</v>
      </c>
      <c r="M1375" t="s">
        <v>4140</v>
      </c>
    </row>
    <row r="1376" spans="2:13" x14ac:dyDescent="0.25">
      <c r="B1376" s="7" t="s">
        <v>3632</v>
      </c>
      <c r="C1376" s="7" t="s">
        <v>3753</v>
      </c>
      <c r="D1376" s="7" t="s">
        <v>695</v>
      </c>
      <c r="E1376" s="7" t="s">
        <v>3902</v>
      </c>
      <c r="F1376" s="7" t="s">
        <v>3747</v>
      </c>
      <c r="G1376" s="7"/>
      <c r="H1376" s="7"/>
      <c r="I1376" s="7"/>
      <c r="J1376" s="58">
        <v>18464</v>
      </c>
      <c r="K1376" s="124">
        <f t="shared" si="79"/>
        <v>20495.04</v>
      </c>
      <c r="L1376" s="120">
        <f t="shared" si="80"/>
        <v>12215.04384</v>
      </c>
      <c r="M1376" t="s">
        <v>4140</v>
      </c>
    </row>
    <row r="1377" spans="1:13" x14ac:dyDescent="0.25">
      <c r="B1377" s="7" t="s">
        <v>3633</v>
      </c>
      <c r="C1377" s="7" t="s">
        <v>3753</v>
      </c>
      <c r="D1377" s="7" t="s">
        <v>696</v>
      </c>
      <c r="E1377" s="7" t="s">
        <v>3903</v>
      </c>
      <c r="F1377" s="7" t="s">
        <v>3747</v>
      </c>
      <c r="G1377" s="7"/>
      <c r="H1377" s="7"/>
      <c r="I1377" s="7"/>
      <c r="J1377" s="58">
        <v>18464</v>
      </c>
      <c r="K1377" s="124">
        <f t="shared" si="79"/>
        <v>20495.04</v>
      </c>
      <c r="L1377" s="120">
        <f t="shared" si="80"/>
        <v>12215.04384</v>
      </c>
      <c r="M1377" t="s">
        <v>4140</v>
      </c>
    </row>
    <row r="1378" spans="1:13" x14ac:dyDescent="0.25">
      <c r="B1378" s="7" t="s">
        <v>3634</v>
      </c>
      <c r="C1378" s="7" t="s">
        <v>3753</v>
      </c>
      <c r="D1378" s="7" t="s">
        <v>697</v>
      </c>
      <c r="E1378" s="7" t="s">
        <v>3904</v>
      </c>
      <c r="F1378" s="7" t="s">
        <v>3747</v>
      </c>
      <c r="G1378" s="7"/>
      <c r="H1378" s="7"/>
      <c r="I1378" s="7"/>
      <c r="J1378" s="58">
        <v>18464</v>
      </c>
      <c r="K1378" s="124">
        <f t="shared" si="79"/>
        <v>20495.04</v>
      </c>
      <c r="L1378" s="120">
        <f t="shared" si="80"/>
        <v>12215.04384</v>
      </c>
      <c r="M1378" t="s">
        <v>4140</v>
      </c>
    </row>
    <row r="1379" spans="1:13" x14ac:dyDescent="0.25">
      <c r="B1379" s="7" t="s">
        <v>3635</v>
      </c>
      <c r="C1379" s="7" t="s">
        <v>3753</v>
      </c>
      <c r="D1379" s="7" t="s">
        <v>698</v>
      </c>
      <c r="E1379" s="7" t="s">
        <v>3905</v>
      </c>
      <c r="F1379" s="7" t="s">
        <v>3747</v>
      </c>
      <c r="G1379" s="7"/>
      <c r="H1379" s="7"/>
      <c r="I1379" s="7"/>
      <c r="J1379" s="58">
        <v>18464</v>
      </c>
      <c r="K1379" s="124">
        <f t="shared" si="79"/>
        <v>20495.04</v>
      </c>
      <c r="L1379" s="120">
        <f t="shared" si="80"/>
        <v>12215.04384</v>
      </c>
      <c r="M1379" t="s">
        <v>4140</v>
      </c>
    </row>
    <row r="1380" spans="1:13" x14ac:dyDescent="0.25">
      <c r="B1380" s="7" t="s">
        <v>3636</v>
      </c>
      <c r="C1380" s="7" t="s">
        <v>3753</v>
      </c>
      <c r="D1380" s="7" t="s">
        <v>699</v>
      </c>
      <c r="E1380" s="7" t="s">
        <v>3893</v>
      </c>
      <c r="F1380" s="7" t="s">
        <v>3747</v>
      </c>
      <c r="G1380" s="7"/>
      <c r="H1380" s="7"/>
      <c r="I1380" s="7"/>
      <c r="J1380" s="58">
        <v>18464</v>
      </c>
      <c r="K1380" s="124">
        <f t="shared" si="79"/>
        <v>20495.04</v>
      </c>
      <c r="L1380" s="120">
        <f t="shared" si="80"/>
        <v>12215.04384</v>
      </c>
      <c r="M1380" t="s">
        <v>4140</v>
      </c>
    </row>
    <row r="1381" spans="1:13" x14ac:dyDescent="0.25">
      <c r="A1381" s="63" t="s">
        <v>4000</v>
      </c>
      <c r="B1381" s="121" t="s">
        <v>3995</v>
      </c>
      <c r="C1381" s="68"/>
      <c r="D1381" s="63"/>
      <c r="E1381" s="64"/>
      <c r="F1381" s="63"/>
      <c r="G1381" s="65"/>
      <c r="H1381" s="70"/>
      <c r="I1381" s="70"/>
      <c r="J1381" s="122"/>
      <c r="K1381" s="70"/>
      <c r="L1381" s="126"/>
    </row>
    <row r="1382" spans="1:13" x14ac:dyDescent="0.25">
      <c r="B1382" s="7" t="s">
        <v>3637</v>
      </c>
      <c r="C1382" s="7" t="s">
        <v>3754</v>
      </c>
      <c r="D1382" s="7" t="s">
        <v>145</v>
      </c>
      <c r="E1382" s="7" t="s">
        <v>3836</v>
      </c>
      <c r="F1382" s="7" t="s">
        <v>3744</v>
      </c>
      <c r="G1382" s="7"/>
      <c r="H1382" s="7"/>
      <c r="I1382" s="7"/>
      <c r="J1382" s="58">
        <v>13905</v>
      </c>
      <c r="K1382" s="58">
        <v>13905</v>
      </c>
      <c r="L1382" s="120">
        <f t="shared" si="80"/>
        <v>8287.3799999999992</v>
      </c>
      <c r="M1382" t="s">
        <v>4139</v>
      </c>
    </row>
    <row r="1383" spans="1:13" x14ac:dyDescent="0.25">
      <c r="B1383" s="7" t="s">
        <v>3638</v>
      </c>
      <c r="C1383" s="7" t="s">
        <v>3754</v>
      </c>
      <c r="D1383" s="7" t="s">
        <v>650</v>
      </c>
      <c r="E1383" s="7" t="s">
        <v>3943</v>
      </c>
      <c r="F1383" s="7" t="s">
        <v>3744</v>
      </c>
      <c r="G1383" s="7"/>
      <c r="H1383" s="7"/>
      <c r="I1383" s="7"/>
      <c r="J1383" s="58">
        <v>13905</v>
      </c>
      <c r="K1383" s="58">
        <v>13905</v>
      </c>
      <c r="L1383" s="120">
        <f t="shared" si="80"/>
        <v>8287.3799999999992</v>
      </c>
      <c r="M1383" t="s">
        <v>4139</v>
      </c>
    </row>
    <row r="1384" spans="1:13" x14ac:dyDescent="0.25">
      <c r="B1384" s="7" t="s">
        <v>3639</v>
      </c>
      <c r="C1384" s="7" t="s">
        <v>3754</v>
      </c>
      <c r="D1384" s="7" t="s">
        <v>651</v>
      </c>
      <c r="E1384" s="7" t="s">
        <v>3944</v>
      </c>
      <c r="F1384" s="7" t="s">
        <v>3744</v>
      </c>
      <c r="G1384" s="7"/>
      <c r="H1384" s="7"/>
      <c r="I1384" s="7"/>
      <c r="J1384" s="58">
        <v>18245</v>
      </c>
      <c r="K1384" s="58">
        <v>18245</v>
      </c>
      <c r="L1384" s="120">
        <f t="shared" si="80"/>
        <v>10874.02</v>
      </c>
      <c r="M1384" t="s">
        <v>4139</v>
      </c>
    </row>
    <row r="1385" spans="1:13" x14ac:dyDescent="0.25">
      <c r="B1385" s="7" t="s">
        <v>3640</v>
      </c>
      <c r="C1385" s="7" t="s">
        <v>3754</v>
      </c>
      <c r="D1385" s="7" t="s">
        <v>652</v>
      </c>
      <c r="E1385" s="7" t="s">
        <v>3945</v>
      </c>
      <c r="F1385" s="7" t="s">
        <v>3744</v>
      </c>
      <c r="G1385" s="7"/>
      <c r="H1385" s="7"/>
      <c r="I1385" s="7"/>
      <c r="J1385" s="58">
        <v>18245</v>
      </c>
      <c r="K1385" s="58">
        <v>18245</v>
      </c>
      <c r="L1385" s="120">
        <f t="shared" si="80"/>
        <v>10874.02</v>
      </c>
      <c r="M1385" t="s">
        <v>4139</v>
      </c>
    </row>
    <row r="1386" spans="1:13" x14ac:dyDescent="0.25">
      <c r="B1386" s="7" t="s">
        <v>3641</v>
      </c>
      <c r="C1386" s="7" t="s">
        <v>3754</v>
      </c>
      <c r="D1386" s="7" t="s">
        <v>653</v>
      </c>
      <c r="E1386" s="7" t="s">
        <v>3946</v>
      </c>
      <c r="F1386" s="7" t="s">
        <v>3744</v>
      </c>
      <c r="G1386" s="7"/>
      <c r="H1386" s="7"/>
      <c r="I1386" s="7"/>
      <c r="J1386" s="58">
        <v>18245</v>
      </c>
      <c r="K1386" s="58">
        <v>18245</v>
      </c>
      <c r="L1386" s="120">
        <f t="shared" si="80"/>
        <v>10874.02</v>
      </c>
      <c r="M1386" t="s">
        <v>4139</v>
      </c>
    </row>
    <row r="1387" spans="1:13" x14ac:dyDescent="0.25">
      <c r="B1387" s="7" t="s">
        <v>3642</v>
      </c>
      <c r="C1387" s="7" t="s">
        <v>3754</v>
      </c>
      <c r="D1387" s="7" t="s">
        <v>654</v>
      </c>
      <c r="E1387" s="7" t="s">
        <v>3947</v>
      </c>
      <c r="F1387" s="7" t="s">
        <v>3744</v>
      </c>
      <c r="G1387" s="7"/>
      <c r="H1387" s="7"/>
      <c r="I1387" s="7"/>
      <c r="J1387" s="58">
        <v>18245</v>
      </c>
      <c r="K1387" s="58">
        <v>18245</v>
      </c>
      <c r="L1387" s="120">
        <f t="shared" si="80"/>
        <v>10874.02</v>
      </c>
      <c r="M1387" t="s">
        <v>4139</v>
      </c>
    </row>
    <row r="1388" spans="1:13" x14ac:dyDescent="0.25">
      <c r="B1388" s="7" t="s">
        <v>3643</v>
      </c>
      <c r="C1388" s="7" t="s">
        <v>3754</v>
      </c>
      <c r="D1388" s="7" t="s">
        <v>655</v>
      </c>
      <c r="E1388" s="7" t="s">
        <v>3948</v>
      </c>
      <c r="F1388" s="7" t="s">
        <v>3744</v>
      </c>
      <c r="G1388" s="7"/>
      <c r="H1388" s="7"/>
      <c r="I1388" s="7"/>
      <c r="J1388" s="58">
        <v>18245</v>
      </c>
      <c r="K1388" s="58">
        <v>18245</v>
      </c>
      <c r="L1388" s="120">
        <f t="shared" si="80"/>
        <v>10874.02</v>
      </c>
      <c r="M1388" t="s">
        <v>4139</v>
      </c>
    </row>
    <row r="1389" spans="1:13" x14ac:dyDescent="0.25">
      <c r="B1389" s="7" t="s">
        <v>3644</v>
      </c>
      <c r="C1389" s="7" t="s">
        <v>3754</v>
      </c>
      <c r="D1389" s="7" t="s">
        <v>656</v>
      </c>
      <c r="E1389" s="7" t="s">
        <v>3949</v>
      </c>
      <c r="F1389" s="7" t="s">
        <v>3744</v>
      </c>
      <c r="G1389" s="7"/>
      <c r="H1389" s="7"/>
      <c r="I1389" s="7"/>
      <c r="J1389" s="58">
        <v>18245</v>
      </c>
      <c r="K1389" s="58">
        <v>18245</v>
      </c>
      <c r="L1389" s="120">
        <f t="shared" si="80"/>
        <v>10874.02</v>
      </c>
      <c r="M1389" t="s">
        <v>4139</v>
      </c>
    </row>
    <row r="1390" spans="1:13" x14ac:dyDescent="0.25">
      <c r="B1390" s="7" t="s">
        <v>3645</v>
      </c>
      <c r="C1390" s="7" t="s">
        <v>3754</v>
      </c>
      <c r="D1390" s="7" t="s">
        <v>657</v>
      </c>
      <c r="E1390" s="7" t="s">
        <v>3950</v>
      </c>
      <c r="F1390" s="7" t="s">
        <v>3744</v>
      </c>
      <c r="G1390" s="7"/>
      <c r="H1390" s="7"/>
      <c r="I1390" s="7"/>
      <c r="J1390" s="58">
        <v>18245</v>
      </c>
      <c r="K1390" s="58">
        <v>18245</v>
      </c>
      <c r="L1390" s="120">
        <f t="shared" si="80"/>
        <v>10874.02</v>
      </c>
      <c r="M1390" t="s">
        <v>4139</v>
      </c>
    </row>
    <row r="1391" spans="1:13" x14ac:dyDescent="0.25">
      <c r="B1391" s="7" t="s">
        <v>3646</v>
      </c>
      <c r="C1391" s="7" t="s">
        <v>3754</v>
      </c>
      <c r="D1391" s="7" t="s">
        <v>658</v>
      </c>
      <c r="E1391" s="7" t="s">
        <v>3951</v>
      </c>
      <c r="F1391" s="7" t="s">
        <v>3744</v>
      </c>
      <c r="G1391" s="7"/>
      <c r="H1391" s="7"/>
      <c r="I1391" s="7"/>
      <c r="J1391" s="58">
        <v>18245</v>
      </c>
      <c r="K1391" s="58">
        <v>18245</v>
      </c>
      <c r="L1391" s="120">
        <f t="shared" si="80"/>
        <v>10874.02</v>
      </c>
      <c r="M1391" t="s">
        <v>4139</v>
      </c>
    </row>
    <row r="1392" spans="1:13" x14ac:dyDescent="0.25">
      <c r="B1392" s="7" t="s">
        <v>3647</v>
      </c>
      <c r="C1392" s="7" t="s">
        <v>3754</v>
      </c>
      <c r="D1392" s="7" t="s">
        <v>659</v>
      </c>
      <c r="E1392" s="7" t="s">
        <v>3952</v>
      </c>
      <c r="F1392" s="7" t="s">
        <v>3744</v>
      </c>
      <c r="G1392" s="7"/>
      <c r="H1392" s="7"/>
      <c r="I1392" s="7"/>
      <c r="J1392" s="58">
        <v>18245</v>
      </c>
      <c r="K1392" s="58">
        <v>18245</v>
      </c>
      <c r="L1392" s="120">
        <f t="shared" si="80"/>
        <v>10874.02</v>
      </c>
      <c r="M1392" t="s">
        <v>4139</v>
      </c>
    </row>
    <row r="1393" spans="2:13" x14ac:dyDescent="0.25">
      <c r="B1393" s="7" t="s">
        <v>3648</v>
      </c>
      <c r="C1393" s="7" t="s">
        <v>3754</v>
      </c>
      <c r="D1393" s="7" t="s">
        <v>660</v>
      </c>
      <c r="E1393" s="7" t="s">
        <v>3953</v>
      </c>
      <c r="F1393" s="7" t="s">
        <v>3744</v>
      </c>
      <c r="G1393" s="7"/>
      <c r="H1393" s="7"/>
      <c r="I1393" s="7"/>
      <c r="J1393" s="58">
        <v>18245</v>
      </c>
      <c r="K1393" s="58">
        <v>18245</v>
      </c>
      <c r="L1393" s="120">
        <f t="shared" si="80"/>
        <v>10874.02</v>
      </c>
      <c r="M1393" t="s">
        <v>4139</v>
      </c>
    </row>
    <row r="1394" spans="2:13" x14ac:dyDescent="0.25">
      <c r="B1394" s="7" t="s">
        <v>3649</v>
      </c>
      <c r="C1394" s="7" t="s">
        <v>3754</v>
      </c>
      <c r="D1394" s="7" t="s">
        <v>661</v>
      </c>
      <c r="E1394" s="7" t="s">
        <v>3954</v>
      </c>
      <c r="F1394" s="7" t="s">
        <v>3744</v>
      </c>
      <c r="G1394" s="7"/>
      <c r="H1394" s="7"/>
      <c r="I1394" s="7"/>
      <c r="J1394" s="58">
        <v>18245</v>
      </c>
      <c r="K1394" s="58">
        <v>18245</v>
      </c>
      <c r="L1394" s="120">
        <f t="shared" si="80"/>
        <v>10874.02</v>
      </c>
      <c r="M1394" t="s">
        <v>4139</v>
      </c>
    </row>
    <row r="1395" spans="2:13" x14ac:dyDescent="0.25">
      <c r="B1395" s="7" t="s">
        <v>3650</v>
      </c>
      <c r="C1395" s="7" t="s">
        <v>3754</v>
      </c>
      <c r="D1395" s="7" t="s">
        <v>149</v>
      </c>
      <c r="E1395" s="7" t="s">
        <v>3825</v>
      </c>
      <c r="F1395" s="7" t="s">
        <v>3744</v>
      </c>
      <c r="G1395" s="7"/>
      <c r="H1395" s="7"/>
      <c r="I1395" s="7"/>
      <c r="J1395" s="58">
        <v>13905</v>
      </c>
      <c r="K1395" s="58">
        <v>13905</v>
      </c>
      <c r="L1395" s="120">
        <f t="shared" si="80"/>
        <v>8287.3799999999992</v>
      </c>
      <c r="M1395" t="s">
        <v>4139</v>
      </c>
    </row>
    <row r="1396" spans="2:13" x14ac:dyDescent="0.25">
      <c r="B1396" s="7" t="s">
        <v>3651</v>
      </c>
      <c r="C1396" s="7" t="s">
        <v>3754</v>
      </c>
      <c r="D1396" s="7" t="s">
        <v>662</v>
      </c>
      <c r="E1396" s="7" t="s">
        <v>3955</v>
      </c>
      <c r="F1396" s="7" t="s">
        <v>3744</v>
      </c>
      <c r="G1396" s="7"/>
      <c r="H1396" s="7"/>
      <c r="I1396" s="7"/>
      <c r="J1396" s="58">
        <v>13905</v>
      </c>
      <c r="K1396" s="58">
        <v>13905</v>
      </c>
      <c r="L1396" s="120">
        <f t="shared" si="80"/>
        <v>8287.3799999999992</v>
      </c>
      <c r="M1396" t="s">
        <v>4139</v>
      </c>
    </row>
    <row r="1397" spans="2:13" x14ac:dyDescent="0.25">
      <c r="B1397" s="7" t="s">
        <v>3652</v>
      </c>
      <c r="C1397" s="7" t="s">
        <v>3754</v>
      </c>
      <c r="D1397" s="7" t="s">
        <v>663</v>
      </c>
      <c r="E1397" s="7" t="s">
        <v>3956</v>
      </c>
      <c r="F1397" s="7" t="s">
        <v>3744</v>
      </c>
      <c r="G1397" s="7"/>
      <c r="H1397" s="7"/>
      <c r="I1397" s="7"/>
      <c r="J1397" s="58">
        <v>18245</v>
      </c>
      <c r="K1397" s="58">
        <v>18245</v>
      </c>
      <c r="L1397" s="120">
        <f t="shared" si="80"/>
        <v>10874.02</v>
      </c>
      <c r="M1397" t="s">
        <v>4139</v>
      </c>
    </row>
    <row r="1398" spans="2:13" x14ac:dyDescent="0.25">
      <c r="B1398" s="7" t="s">
        <v>3653</v>
      </c>
      <c r="C1398" s="7" t="s">
        <v>3754</v>
      </c>
      <c r="D1398" s="7" t="s">
        <v>664</v>
      </c>
      <c r="E1398" s="7" t="s">
        <v>3957</v>
      </c>
      <c r="F1398" s="7" t="s">
        <v>3744</v>
      </c>
      <c r="G1398" s="7"/>
      <c r="H1398" s="7"/>
      <c r="I1398" s="7"/>
      <c r="J1398" s="58">
        <v>18245</v>
      </c>
      <c r="K1398" s="58">
        <v>18245</v>
      </c>
      <c r="L1398" s="120">
        <f t="shared" si="80"/>
        <v>10874.02</v>
      </c>
      <c r="M1398" t="s">
        <v>4139</v>
      </c>
    </row>
    <row r="1399" spans="2:13" x14ac:dyDescent="0.25">
      <c r="B1399" s="7" t="s">
        <v>3654</v>
      </c>
      <c r="C1399" s="7" t="s">
        <v>3754</v>
      </c>
      <c r="D1399" s="7" t="s">
        <v>665</v>
      </c>
      <c r="E1399" s="7" t="s">
        <v>3958</v>
      </c>
      <c r="F1399" s="7" t="s">
        <v>3744</v>
      </c>
      <c r="G1399" s="7"/>
      <c r="H1399" s="7"/>
      <c r="I1399" s="7"/>
      <c r="J1399" s="58">
        <v>18245</v>
      </c>
      <c r="K1399" s="58">
        <v>18245</v>
      </c>
      <c r="L1399" s="120">
        <f t="shared" si="80"/>
        <v>10874.02</v>
      </c>
      <c r="M1399" t="s">
        <v>4139</v>
      </c>
    </row>
    <row r="1400" spans="2:13" x14ac:dyDescent="0.25">
      <c r="B1400" s="7" t="s">
        <v>3655</v>
      </c>
      <c r="C1400" s="7" t="s">
        <v>3754</v>
      </c>
      <c r="D1400" s="7" t="s">
        <v>666</v>
      </c>
      <c r="E1400" s="7" t="s">
        <v>3959</v>
      </c>
      <c r="F1400" s="7" t="s">
        <v>3744</v>
      </c>
      <c r="G1400" s="7"/>
      <c r="H1400" s="7"/>
      <c r="I1400" s="7"/>
      <c r="J1400" s="58">
        <v>18245</v>
      </c>
      <c r="K1400" s="58">
        <v>18245</v>
      </c>
      <c r="L1400" s="120">
        <f t="shared" si="80"/>
        <v>10874.02</v>
      </c>
      <c r="M1400" t="s">
        <v>4139</v>
      </c>
    </row>
    <row r="1401" spans="2:13" x14ac:dyDescent="0.25">
      <c r="B1401" s="7" t="s">
        <v>3656</v>
      </c>
      <c r="C1401" s="7" t="s">
        <v>3754</v>
      </c>
      <c r="D1401" s="7" t="s">
        <v>667</v>
      </c>
      <c r="E1401" s="7" t="s">
        <v>3960</v>
      </c>
      <c r="F1401" s="7" t="s">
        <v>3744</v>
      </c>
      <c r="G1401" s="7"/>
      <c r="H1401" s="7"/>
      <c r="I1401" s="7"/>
      <c r="J1401" s="58">
        <v>18245</v>
      </c>
      <c r="K1401" s="58">
        <v>18245</v>
      </c>
      <c r="L1401" s="120">
        <f t="shared" si="80"/>
        <v>10874.02</v>
      </c>
      <c r="M1401" t="s">
        <v>4139</v>
      </c>
    </row>
    <row r="1402" spans="2:13" x14ac:dyDescent="0.25">
      <c r="B1402" s="7" t="s">
        <v>3657</v>
      </c>
      <c r="C1402" s="7" t="s">
        <v>3754</v>
      </c>
      <c r="D1402" s="7" t="s">
        <v>668</v>
      </c>
      <c r="E1402" s="7" t="s">
        <v>3961</v>
      </c>
      <c r="F1402" s="7" t="s">
        <v>3744</v>
      </c>
      <c r="G1402" s="7"/>
      <c r="H1402" s="7"/>
      <c r="I1402" s="7"/>
      <c r="J1402" s="58">
        <v>18245</v>
      </c>
      <c r="K1402" s="58">
        <v>18245</v>
      </c>
      <c r="L1402" s="120">
        <f t="shared" si="80"/>
        <v>10874.02</v>
      </c>
      <c r="M1402" t="s">
        <v>4139</v>
      </c>
    </row>
    <row r="1403" spans="2:13" x14ac:dyDescent="0.25">
      <c r="B1403" s="7" t="s">
        <v>3658</v>
      </c>
      <c r="C1403" s="7" t="s">
        <v>3754</v>
      </c>
      <c r="D1403" s="7" t="s">
        <v>669</v>
      </c>
      <c r="E1403" s="7" t="s">
        <v>3962</v>
      </c>
      <c r="F1403" s="7" t="s">
        <v>3744</v>
      </c>
      <c r="G1403" s="7"/>
      <c r="H1403" s="7"/>
      <c r="I1403" s="7"/>
      <c r="J1403" s="58">
        <v>18245</v>
      </c>
      <c r="K1403" s="58">
        <v>18245</v>
      </c>
      <c r="L1403" s="120">
        <f t="shared" si="80"/>
        <v>10874.02</v>
      </c>
      <c r="M1403" t="s">
        <v>4139</v>
      </c>
    </row>
    <row r="1404" spans="2:13" x14ac:dyDescent="0.25">
      <c r="B1404" s="7" t="s">
        <v>3659</v>
      </c>
      <c r="C1404" s="7" t="s">
        <v>3754</v>
      </c>
      <c r="D1404" s="7" t="s">
        <v>670</v>
      </c>
      <c r="E1404" s="7" t="s">
        <v>3963</v>
      </c>
      <c r="F1404" s="7" t="s">
        <v>3744</v>
      </c>
      <c r="G1404" s="7"/>
      <c r="H1404" s="7"/>
      <c r="I1404" s="7"/>
      <c r="J1404" s="58">
        <v>18245</v>
      </c>
      <c r="K1404" s="58">
        <v>18245</v>
      </c>
      <c r="L1404" s="120">
        <f t="shared" si="80"/>
        <v>10874.02</v>
      </c>
      <c r="M1404" t="s">
        <v>4139</v>
      </c>
    </row>
    <row r="1405" spans="2:13" x14ac:dyDescent="0.25">
      <c r="B1405" s="7" t="s">
        <v>3660</v>
      </c>
      <c r="C1405" s="7" t="s">
        <v>3754</v>
      </c>
      <c r="D1405" s="7" t="s">
        <v>671</v>
      </c>
      <c r="E1405" s="7" t="s">
        <v>3964</v>
      </c>
      <c r="F1405" s="7" t="s">
        <v>3744</v>
      </c>
      <c r="G1405" s="7"/>
      <c r="H1405" s="7"/>
      <c r="I1405" s="7"/>
      <c r="J1405" s="58">
        <v>18245</v>
      </c>
      <c r="K1405" s="58">
        <v>18245</v>
      </c>
      <c r="L1405" s="120">
        <f t="shared" si="80"/>
        <v>10874.02</v>
      </c>
      <c r="M1405" t="s">
        <v>4139</v>
      </c>
    </row>
    <row r="1406" spans="2:13" x14ac:dyDescent="0.25">
      <c r="B1406" s="7" t="s">
        <v>3661</v>
      </c>
      <c r="C1406" s="7" t="s">
        <v>3754</v>
      </c>
      <c r="D1406" s="7" t="s">
        <v>672</v>
      </c>
      <c r="E1406" s="7" t="s">
        <v>3965</v>
      </c>
      <c r="F1406" s="7" t="s">
        <v>3744</v>
      </c>
      <c r="G1406" s="7"/>
      <c r="H1406" s="7"/>
      <c r="I1406" s="7"/>
      <c r="J1406" s="58">
        <v>18245</v>
      </c>
      <c r="K1406" s="58">
        <v>18245</v>
      </c>
      <c r="L1406" s="120">
        <f t="shared" si="80"/>
        <v>10874.02</v>
      </c>
      <c r="M1406" t="s">
        <v>4139</v>
      </c>
    </row>
    <row r="1407" spans="2:13" x14ac:dyDescent="0.25">
      <c r="B1407" s="7" t="s">
        <v>3662</v>
      </c>
      <c r="C1407" s="7" t="s">
        <v>3754</v>
      </c>
      <c r="D1407" s="7" t="s">
        <v>673</v>
      </c>
      <c r="E1407" s="7" t="s">
        <v>3966</v>
      </c>
      <c r="F1407" s="7" t="s">
        <v>3744</v>
      </c>
      <c r="G1407" s="7"/>
      <c r="H1407" s="7"/>
      <c r="I1407" s="7"/>
      <c r="J1407" s="58">
        <v>18245</v>
      </c>
      <c r="K1407" s="58">
        <v>18245</v>
      </c>
      <c r="L1407" s="120">
        <f t="shared" si="80"/>
        <v>10874.02</v>
      </c>
      <c r="M1407" t="s">
        <v>4139</v>
      </c>
    </row>
    <row r="1408" spans="2:13" x14ac:dyDescent="0.25">
      <c r="B1408" s="7" t="s">
        <v>3663</v>
      </c>
      <c r="C1408" s="7" t="s">
        <v>3754</v>
      </c>
      <c r="D1408" s="7" t="s">
        <v>674</v>
      </c>
      <c r="E1408" s="7" t="s">
        <v>3967</v>
      </c>
      <c r="F1408" s="7" t="s">
        <v>3744</v>
      </c>
      <c r="G1408" s="7"/>
      <c r="H1408" s="7"/>
      <c r="I1408" s="7"/>
      <c r="J1408" s="58">
        <v>13905</v>
      </c>
      <c r="K1408" s="58">
        <v>13905</v>
      </c>
      <c r="L1408" s="120">
        <f t="shared" si="80"/>
        <v>8287.3799999999992</v>
      </c>
      <c r="M1408" t="s">
        <v>4139</v>
      </c>
    </row>
    <row r="1409" spans="2:13" x14ac:dyDescent="0.25">
      <c r="B1409" s="7" t="s">
        <v>3664</v>
      </c>
      <c r="C1409" s="7" t="s">
        <v>3754</v>
      </c>
      <c r="D1409" s="7" t="s">
        <v>675</v>
      </c>
      <c r="E1409" s="7" t="s">
        <v>3968</v>
      </c>
      <c r="F1409" s="7" t="s">
        <v>3744</v>
      </c>
      <c r="G1409" s="7"/>
      <c r="H1409" s="7"/>
      <c r="I1409" s="7"/>
      <c r="J1409" s="58">
        <v>13905</v>
      </c>
      <c r="K1409" s="58">
        <v>13905</v>
      </c>
      <c r="L1409" s="120">
        <f t="shared" si="80"/>
        <v>8287.3799999999992</v>
      </c>
      <c r="M1409" t="s">
        <v>4139</v>
      </c>
    </row>
    <row r="1410" spans="2:13" x14ac:dyDescent="0.25">
      <c r="B1410" s="7" t="s">
        <v>3665</v>
      </c>
      <c r="C1410" s="7" t="s">
        <v>3754</v>
      </c>
      <c r="D1410" s="7" t="s">
        <v>676</v>
      </c>
      <c r="E1410" s="7" t="s">
        <v>3969</v>
      </c>
      <c r="F1410" s="7" t="s">
        <v>3744</v>
      </c>
      <c r="G1410" s="7"/>
      <c r="H1410" s="7"/>
      <c r="I1410" s="7"/>
      <c r="J1410" s="58">
        <v>18245</v>
      </c>
      <c r="K1410" s="58">
        <v>18245</v>
      </c>
      <c r="L1410" s="120">
        <f t="shared" si="80"/>
        <v>10874.02</v>
      </c>
      <c r="M1410" t="s">
        <v>4139</v>
      </c>
    </row>
    <row r="1411" spans="2:13" x14ac:dyDescent="0.25">
      <c r="B1411" s="7" t="s">
        <v>3666</v>
      </c>
      <c r="C1411" s="7" t="s">
        <v>3754</v>
      </c>
      <c r="D1411" s="7" t="s">
        <v>677</v>
      </c>
      <c r="E1411" s="7" t="s">
        <v>3970</v>
      </c>
      <c r="F1411" s="7" t="s">
        <v>3744</v>
      </c>
      <c r="G1411" s="7"/>
      <c r="H1411" s="7"/>
      <c r="I1411" s="7"/>
      <c r="J1411" s="58">
        <v>18245</v>
      </c>
      <c r="K1411" s="58">
        <v>18245</v>
      </c>
      <c r="L1411" s="120">
        <f t="shared" si="80"/>
        <v>10874.02</v>
      </c>
      <c r="M1411" t="s">
        <v>4139</v>
      </c>
    </row>
    <row r="1412" spans="2:13" x14ac:dyDescent="0.25">
      <c r="B1412" s="7" t="s">
        <v>3667</v>
      </c>
      <c r="C1412" s="7" t="s">
        <v>3754</v>
      </c>
      <c r="D1412" s="7" t="s">
        <v>678</v>
      </c>
      <c r="E1412" s="7" t="s">
        <v>3971</v>
      </c>
      <c r="F1412" s="7" t="s">
        <v>3744</v>
      </c>
      <c r="G1412" s="7"/>
      <c r="H1412" s="7"/>
      <c r="I1412" s="7"/>
      <c r="J1412" s="58">
        <v>18245</v>
      </c>
      <c r="K1412" s="58">
        <v>18245</v>
      </c>
      <c r="L1412" s="120">
        <f t="shared" si="80"/>
        <v>10874.02</v>
      </c>
      <c r="M1412" t="s">
        <v>4139</v>
      </c>
    </row>
    <row r="1413" spans="2:13" x14ac:dyDescent="0.25">
      <c r="B1413" s="7" t="s">
        <v>3668</v>
      </c>
      <c r="C1413" s="7" t="s">
        <v>3754</v>
      </c>
      <c r="D1413" s="7" t="s">
        <v>679</v>
      </c>
      <c r="E1413" s="7" t="s">
        <v>3972</v>
      </c>
      <c r="F1413" s="7" t="s">
        <v>3744</v>
      </c>
      <c r="G1413" s="7"/>
      <c r="H1413" s="7"/>
      <c r="I1413" s="7"/>
      <c r="J1413" s="58">
        <v>18245</v>
      </c>
      <c r="K1413" s="58">
        <v>18245</v>
      </c>
      <c r="L1413" s="120">
        <f t="shared" si="80"/>
        <v>10874.02</v>
      </c>
      <c r="M1413" t="s">
        <v>4139</v>
      </c>
    </row>
    <row r="1414" spans="2:13" x14ac:dyDescent="0.25">
      <c r="B1414" s="7" t="s">
        <v>3669</v>
      </c>
      <c r="C1414" s="7" t="s">
        <v>3754</v>
      </c>
      <c r="D1414" s="7" t="s">
        <v>680</v>
      </c>
      <c r="E1414" s="7" t="s">
        <v>3973</v>
      </c>
      <c r="F1414" s="7" t="s">
        <v>3744</v>
      </c>
      <c r="G1414" s="7"/>
      <c r="H1414" s="7"/>
      <c r="I1414" s="7"/>
      <c r="J1414" s="58">
        <v>18245</v>
      </c>
      <c r="K1414" s="58">
        <v>18245</v>
      </c>
      <c r="L1414" s="120">
        <f t="shared" si="80"/>
        <v>10874.02</v>
      </c>
      <c r="M1414" t="s">
        <v>4139</v>
      </c>
    </row>
    <row r="1415" spans="2:13" x14ac:dyDescent="0.25">
      <c r="B1415" s="7" t="s">
        <v>3670</v>
      </c>
      <c r="C1415" s="7" t="s">
        <v>3754</v>
      </c>
      <c r="D1415" s="7" t="s">
        <v>681</v>
      </c>
      <c r="E1415" s="7" t="s">
        <v>3974</v>
      </c>
      <c r="F1415" s="7" t="s">
        <v>3744</v>
      </c>
      <c r="G1415" s="7"/>
      <c r="H1415" s="7"/>
      <c r="I1415" s="7"/>
      <c r="J1415" s="58">
        <v>18245</v>
      </c>
      <c r="K1415" s="58">
        <v>18245</v>
      </c>
      <c r="L1415" s="120">
        <f t="shared" si="80"/>
        <v>10874.02</v>
      </c>
      <c r="M1415" t="s">
        <v>4139</v>
      </c>
    </row>
    <row r="1416" spans="2:13" x14ac:dyDescent="0.25">
      <c r="B1416" s="7" t="s">
        <v>3671</v>
      </c>
      <c r="C1416" s="7" t="s">
        <v>3754</v>
      </c>
      <c r="D1416" s="7" t="s">
        <v>682</v>
      </c>
      <c r="E1416" s="7" t="s">
        <v>3975</v>
      </c>
      <c r="F1416" s="7" t="s">
        <v>3744</v>
      </c>
      <c r="G1416" s="7"/>
      <c r="H1416" s="7"/>
      <c r="I1416" s="7"/>
      <c r="J1416" s="58">
        <v>18245</v>
      </c>
      <c r="K1416" s="58">
        <v>18245</v>
      </c>
      <c r="L1416" s="120">
        <f t="shared" si="80"/>
        <v>10874.02</v>
      </c>
      <c r="M1416" t="s">
        <v>4139</v>
      </c>
    </row>
    <row r="1417" spans="2:13" x14ac:dyDescent="0.25">
      <c r="B1417" s="7" t="s">
        <v>3672</v>
      </c>
      <c r="C1417" s="7" t="s">
        <v>3754</v>
      </c>
      <c r="D1417" s="7" t="s">
        <v>683</v>
      </c>
      <c r="E1417" s="7" t="s">
        <v>3976</v>
      </c>
      <c r="F1417" s="7" t="s">
        <v>3744</v>
      </c>
      <c r="G1417" s="7"/>
      <c r="H1417" s="7"/>
      <c r="I1417" s="7"/>
      <c r="J1417" s="58">
        <v>18245</v>
      </c>
      <c r="K1417" s="58">
        <v>18245</v>
      </c>
      <c r="L1417" s="120">
        <f t="shared" si="80"/>
        <v>10874.02</v>
      </c>
      <c r="M1417" t="s">
        <v>4139</v>
      </c>
    </row>
    <row r="1418" spans="2:13" x14ac:dyDescent="0.25">
      <c r="B1418" s="7" t="s">
        <v>3673</v>
      </c>
      <c r="C1418" s="7" t="s">
        <v>3754</v>
      </c>
      <c r="D1418" s="7" t="s">
        <v>684</v>
      </c>
      <c r="E1418" s="7" t="s">
        <v>3977</v>
      </c>
      <c r="F1418" s="7" t="s">
        <v>3744</v>
      </c>
      <c r="G1418" s="7"/>
      <c r="H1418" s="7"/>
      <c r="I1418" s="7"/>
      <c r="J1418" s="58">
        <v>18245</v>
      </c>
      <c r="K1418" s="58">
        <v>18245</v>
      </c>
      <c r="L1418" s="120">
        <f t="shared" si="80"/>
        <v>10874.02</v>
      </c>
      <c r="M1418" t="s">
        <v>4139</v>
      </c>
    </row>
    <row r="1419" spans="2:13" x14ac:dyDescent="0.25">
      <c r="B1419" s="7" t="s">
        <v>3674</v>
      </c>
      <c r="C1419" s="7" t="s">
        <v>3754</v>
      </c>
      <c r="D1419" s="7" t="s">
        <v>685</v>
      </c>
      <c r="E1419" s="7" t="s">
        <v>3978</v>
      </c>
      <c r="F1419" s="7" t="s">
        <v>3744</v>
      </c>
      <c r="G1419" s="7"/>
      <c r="H1419" s="7"/>
      <c r="I1419" s="7"/>
      <c r="J1419" s="58">
        <v>18245</v>
      </c>
      <c r="K1419" s="58">
        <v>18245</v>
      </c>
      <c r="L1419" s="120">
        <f t="shared" si="80"/>
        <v>10874.02</v>
      </c>
      <c r="M1419" t="s">
        <v>4139</v>
      </c>
    </row>
    <row r="1420" spans="2:13" x14ac:dyDescent="0.25">
      <c r="B1420" s="7" t="s">
        <v>3675</v>
      </c>
      <c r="C1420" s="7" t="s">
        <v>3754</v>
      </c>
      <c r="D1420" s="7" t="s">
        <v>686</v>
      </c>
      <c r="E1420" s="7" t="s">
        <v>3979</v>
      </c>
      <c r="F1420" s="7" t="s">
        <v>3744</v>
      </c>
      <c r="G1420" s="7"/>
      <c r="H1420" s="7"/>
      <c r="I1420" s="7"/>
      <c r="J1420" s="58">
        <v>18245</v>
      </c>
      <c r="K1420" s="58">
        <v>18245</v>
      </c>
      <c r="L1420" s="120">
        <f t="shared" si="80"/>
        <v>10874.02</v>
      </c>
      <c r="M1420" t="s">
        <v>4139</v>
      </c>
    </row>
    <row r="1421" spans="2:13" x14ac:dyDescent="0.25">
      <c r="B1421" s="7" t="s">
        <v>3676</v>
      </c>
      <c r="C1421" s="7" t="s">
        <v>3754</v>
      </c>
      <c r="D1421" s="7" t="s">
        <v>687</v>
      </c>
      <c r="E1421" s="7" t="s">
        <v>3980</v>
      </c>
      <c r="F1421" s="7" t="s">
        <v>3744</v>
      </c>
      <c r="G1421" s="7"/>
      <c r="H1421" s="7"/>
      <c r="I1421" s="7"/>
      <c r="J1421" s="58">
        <v>13905</v>
      </c>
      <c r="K1421" s="58">
        <v>13905</v>
      </c>
      <c r="L1421" s="120">
        <f t="shared" si="80"/>
        <v>8287.3799999999992</v>
      </c>
      <c r="M1421" t="s">
        <v>4139</v>
      </c>
    </row>
    <row r="1422" spans="2:13" x14ac:dyDescent="0.25">
      <c r="B1422" s="7" t="s">
        <v>3677</v>
      </c>
      <c r="C1422" s="7" t="s">
        <v>3754</v>
      </c>
      <c r="D1422" s="7" t="s">
        <v>688</v>
      </c>
      <c r="E1422" s="7" t="s">
        <v>3981</v>
      </c>
      <c r="F1422" s="7" t="s">
        <v>3744</v>
      </c>
      <c r="G1422" s="7"/>
      <c r="H1422" s="7"/>
      <c r="I1422" s="7"/>
      <c r="J1422" s="58">
        <v>13905</v>
      </c>
      <c r="K1422" s="58">
        <v>13905</v>
      </c>
      <c r="L1422" s="120">
        <f t="shared" si="80"/>
        <v>8287.3799999999992</v>
      </c>
      <c r="M1422" t="s">
        <v>4139</v>
      </c>
    </row>
    <row r="1423" spans="2:13" x14ac:dyDescent="0.25">
      <c r="B1423" s="7" t="s">
        <v>3678</v>
      </c>
      <c r="C1423" s="7" t="s">
        <v>3754</v>
      </c>
      <c r="D1423" s="7" t="s">
        <v>689</v>
      </c>
      <c r="E1423" s="7" t="s">
        <v>3982</v>
      </c>
      <c r="F1423" s="7" t="s">
        <v>3744</v>
      </c>
      <c r="G1423" s="7"/>
      <c r="H1423" s="7"/>
      <c r="I1423" s="7"/>
      <c r="J1423" s="58">
        <v>18245</v>
      </c>
      <c r="K1423" s="58">
        <v>18245</v>
      </c>
      <c r="L1423" s="120">
        <f t="shared" si="80"/>
        <v>10874.02</v>
      </c>
      <c r="M1423" t="s">
        <v>4139</v>
      </c>
    </row>
    <row r="1424" spans="2:13" x14ac:dyDescent="0.25">
      <c r="B1424" s="7" t="s">
        <v>3679</v>
      </c>
      <c r="C1424" s="7" t="s">
        <v>3754</v>
      </c>
      <c r="D1424" s="7" t="s">
        <v>690</v>
      </c>
      <c r="E1424" s="7" t="s">
        <v>3983</v>
      </c>
      <c r="F1424" s="7" t="s">
        <v>3744</v>
      </c>
      <c r="G1424" s="7"/>
      <c r="H1424" s="7"/>
      <c r="I1424" s="7"/>
      <c r="J1424" s="58">
        <v>18245</v>
      </c>
      <c r="K1424" s="58">
        <v>18245</v>
      </c>
      <c r="L1424" s="120">
        <f t="shared" si="80"/>
        <v>10874.02</v>
      </c>
      <c r="M1424" t="s">
        <v>4139</v>
      </c>
    </row>
    <row r="1425" spans="1:13" x14ac:dyDescent="0.25">
      <c r="B1425" s="7" t="s">
        <v>3680</v>
      </c>
      <c r="C1425" s="7" t="s">
        <v>3754</v>
      </c>
      <c r="D1425" s="7" t="s">
        <v>691</v>
      </c>
      <c r="E1425" s="7" t="s">
        <v>3984</v>
      </c>
      <c r="F1425" s="7" t="s">
        <v>3744</v>
      </c>
      <c r="G1425" s="7"/>
      <c r="H1425" s="7"/>
      <c r="I1425" s="7"/>
      <c r="J1425" s="58">
        <v>18245</v>
      </c>
      <c r="K1425" s="58">
        <v>18245</v>
      </c>
      <c r="L1425" s="120">
        <f t="shared" si="80"/>
        <v>10874.02</v>
      </c>
      <c r="M1425" t="s">
        <v>4139</v>
      </c>
    </row>
    <row r="1426" spans="1:13" x14ac:dyDescent="0.25">
      <c r="B1426" s="7" t="s">
        <v>3681</v>
      </c>
      <c r="C1426" s="7" t="s">
        <v>3754</v>
      </c>
      <c r="D1426" s="7" t="s">
        <v>692</v>
      </c>
      <c r="E1426" s="7" t="s">
        <v>3985</v>
      </c>
      <c r="F1426" s="7" t="s">
        <v>3744</v>
      </c>
      <c r="G1426" s="7"/>
      <c r="H1426" s="7"/>
      <c r="I1426" s="7"/>
      <c r="J1426" s="58">
        <v>18245</v>
      </c>
      <c r="K1426" s="58">
        <v>18245</v>
      </c>
      <c r="L1426" s="120">
        <f t="shared" si="80"/>
        <v>10874.02</v>
      </c>
      <c r="M1426" t="s">
        <v>4139</v>
      </c>
    </row>
    <row r="1427" spans="1:13" x14ac:dyDescent="0.25">
      <c r="B1427" s="7" t="s">
        <v>3682</v>
      </c>
      <c r="C1427" s="7" t="s">
        <v>3754</v>
      </c>
      <c r="D1427" s="7" t="s">
        <v>693</v>
      </c>
      <c r="E1427" s="7" t="s">
        <v>3986</v>
      </c>
      <c r="F1427" s="7" t="s">
        <v>3744</v>
      </c>
      <c r="G1427" s="7"/>
      <c r="H1427" s="7"/>
      <c r="I1427" s="7"/>
      <c r="J1427" s="58">
        <v>18245</v>
      </c>
      <c r="K1427" s="58">
        <v>18245</v>
      </c>
      <c r="L1427" s="120">
        <f t="shared" si="80"/>
        <v>10874.02</v>
      </c>
      <c r="M1427" t="s">
        <v>4139</v>
      </c>
    </row>
    <row r="1428" spans="1:13" x14ac:dyDescent="0.25">
      <c r="B1428" s="7" t="s">
        <v>3683</v>
      </c>
      <c r="C1428" s="7" t="s">
        <v>3754</v>
      </c>
      <c r="D1428" s="7" t="s">
        <v>694</v>
      </c>
      <c r="E1428" s="7" t="s">
        <v>3987</v>
      </c>
      <c r="F1428" s="7" t="s">
        <v>3744</v>
      </c>
      <c r="G1428" s="7"/>
      <c r="H1428" s="7"/>
      <c r="I1428" s="7"/>
      <c r="J1428" s="58">
        <v>18245</v>
      </c>
      <c r="K1428" s="58">
        <v>18245</v>
      </c>
      <c r="L1428" s="120">
        <f t="shared" si="80"/>
        <v>10874.02</v>
      </c>
      <c r="M1428" t="s">
        <v>4139</v>
      </c>
    </row>
    <row r="1429" spans="1:13" x14ac:dyDescent="0.25">
      <c r="B1429" s="7" t="s">
        <v>3684</v>
      </c>
      <c r="C1429" s="7" t="s">
        <v>3754</v>
      </c>
      <c r="D1429" s="7" t="s">
        <v>695</v>
      </c>
      <c r="E1429" s="7" t="s">
        <v>3988</v>
      </c>
      <c r="F1429" s="7" t="s">
        <v>3744</v>
      </c>
      <c r="G1429" s="7"/>
      <c r="H1429" s="7"/>
      <c r="I1429" s="7"/>
      <c r="J1429" s="58">
        <v>18245</v>
      </c>
      <c r="K1429" s="58">
        <v>18245</v>
      </c>
      <c r="L1429" s="120">
        <f t="shared" si="80"/>
        <v>10874.02</v>
      </c>
      <c r="M1429" t="s">
        <v>4139</v>
      </c>
    </row>
    <row r="1430" spans="1:13" x14ac:dyDescent="0.25">
      <c r="B1430" s="7" t="s">
        <v>3685</v>
      </c>
      <c r="C1430" s="7" t="s">
        <v>3754</v>
      </c>
      <c r="D1430" s="7" t="s">
        <v>696</v>
      </c>
      <c r="E1430" s="7" t="s">
        <v>3989</v>
      </c>
      <c r="F1430" s="7" t="s">
        <v>3744</v>
      </c>
      <c r="G1430" s="7"/>
      <c r="H1430" s="7"/>
      <c r="I1430" s="7"/>
      <c r="J1430" s="58">
        <v>18245</v>
      </c>
      <c r="K1430" s="58">
        <v>18245</v>
      </c>
      <c r="L1430" s="120">
        <f t="shared" si="80"/>
        <v>10874.02</v>
      </c>
      <c r="M1430" t="s">
        <v>4139</v>
      </c>
    </row>
    <row r="1431" spans="1:13" x14ac:dyDescent="0.25">
      <c r="B1431" s="7" t="s">
        <v>3686</v>
      </c>
      <c r="C1431" s="7" t="s">
        <v>3754</v>
      </c>
      <c r="D1431" s="7" t="s">
        <v>697</v>
      </c>
      <c r="E1431" s="7" t="s">
        <v>3990</v>
      </c>
      <c r="F1431" s="7" t="s">
        <v>3744</v>
      </c>
      <c r="G1431" s="7"/>
      <c r="H1431" s="7"/>
      <c r="I1431" s="7"/>
      <c r="J1431" s="58">
        <v>18245</v>
      </c>
      <c r="K1431" s="58">
        <v>18245</v>
      </c>
      <c r="L1431" s="120">
        <f t="shared" si="80"/>
        <v>10874.02</v>
      </c>
      <c r="M1431" t="s">
        <v>4139</v>
      </c>
    </row>
    <row r="1432" spans="1:13" x14ac:dyDescent="0.25">
      <c r="B1432" s="7" t="s">
        <v>3687</v>
      </c>
      <c r="C1432" s="7" t="s">
        <v>3754</v>
      </c>
      <c r="D1432" s="7" t="s">
        <v>698</v>
      </c>
      <c r="E1432" s="7" t="s">
        <v>3991</v>
      </c>
      <c r="F1432" s="7" t="s">
        <v>3744</v>
      </c>
      <c r="G1432" s="7"/>
      <c r="H1432" s="7"/>
      <c r="I1432" s="7"/>
      <c r="J1432" s="58">
        <v>18245</v>
      </c>
      <c r="K1432" s="58">
        <v>18245</v>
      </c>
      <c r="L1432" s="120">
        <f t="shared" si="80"/>
        <v>10874.02</v>
      </c>
      <c r="M1432" t="s">
        <v>4139</v>
      </c>
    </row>
    <row r="1433" spans="1:13" x14ac:dyDescent="0.25">
      <c r="B1433" s="7" t="s">
        <v>3688</v>
      </c>
      <c r="C1433" s="7" t="s">
        <v>3754</v>
      </c>
      <c r="D1433" s="7" t="s">
        <v>699</v>
      </c>
      <c r="E1433" s="7" t="s">
        <v>3992</v>
      </c>
      <c r="F1433" s="7" t="s">
        <v>3744</v>
      </c>
      <c r="G1433" s="7"/>
      <c r="H1433" s="7"/>
      <c r="I1433" s="7"/>
      <c r="J1433" s="58">
        <v>18245</v>
      </c>
      <c r="K1433" s="58">
        <v>18245</v>
      </c>
      <c r="L1433" s="120">
        <f t="shared" si="80"/>
        <v>10874.02</v>
      </c>
      <c r="M1433" t="s">
        <v>4139</v>
      </c>
    </row>
    <row r="1434" spans="1:13" x14ac:dyDescent="0.25">
      <c r="A1434" s="63" t="s">
        <v>4000</v>
      </c>
      <c r="B1434" s="121" t="s">
        <v>3994</v>
      </c>
      <c r="C1434" s="68"/>
      <c r="D1434" s="63"/>
      <c r="E1434" s="64"/>
      <c r="F1434" s="63"/>
      <c r="G1434" s="65"/>
      <c r="H1434" s="70"/>
      <c r="I1434" s="70"/>
      <c r="J1434" s="122"/>
      <c r="K1434" s="70"/>
      <c r="L1434" s="126"/>
    </row>
    <row r="1435" spans="1:13" x14ac:dyDescent="0.25">
      <c r="A1435" s="51"/>
      <c r="B1435" s="7" t="s">
        <v>3689</v>
      </c>
      <c r="C1435" s="7" t="s">
        <v>3755</v>
      </c>
      <c r="D1435" s="7" t="s">
        <v>145</v>
      </c>
      <c r="E1435" s="7" t="s">
        <v>3836</v>
      </c>
      <c r="F1435" s="7" t="s">
        <v>3747</v>
      </c>
      <c r="G1435" s="7"/>
      <c r="H1435" s="7"/>
      <c r="I1435" s="7"/>
      <c r="J1435" s="58">
        <v>15417</v>
      </c>
      <c r="K1435" s="123">
        <f>J1435*1.11</f>
        <v>17112.870000000003</v>
      </c>
      <c r="L1435" s="120">
        <f t="shared" si="80"/>
        <v>10199.270520000002</v>
      </c>
      <c r="M1435" t="s">
        <v>4140</v>
      </c>
    </row>
    <row r="1436" spans="1:13" x14ac:dyDescent="0.25">
      <c r="A1436" s="51"/>
      <c r="B1436" s="7" t="s">
        <v>3690</v>
      </c>
      <c r="C1436" s="7" t="s">
        <v>3755</v>
      </c>
      <c r="D1436" s="7" t="s">
        <v>650</v>
      </c>
      <c r="E1436" s="7" t="s">
        <v>3943</v>
      </c>
      <c r="F1436" s="7" t="s">
        <v>3747</v>
      </c>
      <c r="G1436" s="7"/>
      <c r="H1436" s="7"/>
      <c r="I1436" s="7"/>
      <c r="J1436" s="58">
        <v>15417</v>
      </c>
      <c r="K1436" s="123">
        <f t="shared" ref="K1436:K1486" si="81">J1436*1.11</f>
        <v>17112.870000000003</v>
      </c>
      <c r="L1436" s="120">
        <f t="shared" si="80"/>
        <v>10199.270520000002</v>
      </c>
      <c r="M1436" t="s">
        <v>4140</v>
      </c>
    </row>
    <row r="1437" spans="1:13" x14ac:dyDescent="0.25">
      <c r="A1437" s="51"/>
      <c r="B1437" s="7" t="s">
        <v>3691</v>
      </c>
      <c r="C1437" s="7" t="s">
        <v>3755</v>
      </c>
      <c r="D1437" s="7" t="s">
        <v>651</v>
      </c>
      <c r="E1437" s="7" t="s">
        <v>3944</v>
      </c>
      <c r="F1437" s="7" t="s">
        <v>3747</v>
      </c>
      <c r="G1437" s="7"/>
      <c r="H1437" s="7"/>
      <c r="I1437" s="7"/>
      <c r="J1437" s="58">
        <v>20190</v>
      </c>
      <c r="K1437" s="123">
        <f t="shared" si="81"/>
        <v>22410.9</v>
      </c>
      <c r="L1437" s="120">
        <f t="shared" ref="L1437:L1486" si="82">K1437*0.596</f>
        <v>13356.8964</v>
      </c>
      <c r="M1437" t="s">
        <v>4140</v>
      </c>
    </row>
    <row r="1438" spans="1:13" x14ac:dyDescent="0.25">
      <c r="A1438" s="51"/>
      <c r="B1438" s="7" t="s">
        <v>3692</v>
      </c>
      <c r="C1438" s="7" t="s">
        <v>3755</v>
      </c>
      <c r="D1438" s="7" t="s">
        <v>652</v>
      </c>
      <c r="E1438" s="7" t="s">
        <v>3945</v>
      </c>
      <c r="F1438" s="7" t="s">
        <v>3747</v>
      </c>
      <c r="G1438" s="7"/>
      <c r="H1438" s="7"/>
      <c r="I1438" s="7"/>
      <c r="J1438" s="58">
        <v>20190</v>
      </c>
      <c r="K1438" s="123">
        <f t="shared" si="81"/>
        <v>22410.9</v>
      </c>
      <c r="L1438" s="120">
        <f t="shared" si="82"/>
        <v>13356.8964</v>
      </c>
      <c r="M1438" t="s">
        <v>4140</v>
      </c>
    </row>
    <row r="1439" spans="1:13" x14ac:dyDescent="0.25">
      <c r="A1439" s="51"/>
      <c r="B1439" s="7" t="s">
        <v>3693</v>
      </c>
      <c r="C1439" s="7" t="s">
        <v>3755</v>
      </c>
      <c r="D1439" s="7" t="s">
        <v>653</v>
      </c>
      <c r="E1439" s="7" t="s">
        <v>3946</v>
      </c>
      <c r="F1439" s="7" t="s">
        <v>3747</v>
      </c>
      <c r="G1439" s="7"/>
      <c r="H1439" s="7"/>
      <c r="I1439" s="7"/>
      <c r="J1439" s="58">
        <v>20190</v>
      </c>
      <c r="K1439" s="123">
        <f t="shared" si="81"/>
        <v>22410.9</v>
      </c>
      <c r="L1439" s="120">
        <f t="shared" si="82"/>
        <v>13356.8964</v>
      </c>
      <c r="M1439" t="s">
        <v>4140</v>
      </c>
    </row>
    <row r="1440" spans="1:13" x14ac:dyDescent="0.25">
      <c r="A1440" s="51"/>
      <c r="B1440" s="7" t="s">
        <v>3694</v>
      </c>
      <c r="C1440" s="7" t="s">
        <v>3755</v>
      </c>
      <c r="D1440" s="7" t="s">
        <v>654</v>
      </c>
      <c r="E1440" s="7" t="s">
        <v>3947</v>
      </c>
      <c r="F1440" s="7" t="s">
        <v>3747</v>
      </c>
      <c r="G1440" s="7"/>
      <c r="H1440" s="7"/>
      <c r="I1440" s="7"/>
      <c r="J1440" s="58">
        <v>20190</v>
      </c>
      <c r="K1440" s="123">
        <f t="shared" si="81"/>
        <v>22410.9</v>
      </c>
      <c r="L1440" s="120">
        <f t="shared" si="82"/>
        <v>13356.8964</v>
      </c>
      <c r="M1440" t="s">
        <v>4140</v>
      </c>
    </row>
    <row r="1441" spans="1:13" x14ac:dyDescent="0.25">
      <c r="A1441" s="51"/>
      <c r="B1441" s="7" t="s">
        <v>3695</v>
      </c>
      <c r="C1441" s="7" t="s">
        <v>3755</v>
      </c>
      <c r="D1441" s="7" t="s">
        <v>655</v>
      </c>
      <c r="E1441" s="7" t="s">
        <v>3948</v>
      </c>
      <c r="F1441" s="7" t="s">
        <v>3747</v>
      </c>
      <c r="G1441" s="7"/>
      <c r="H1441" s="7"/>
      <c r="I1441" s="7"/>
      <c r="J1441" s="58">
        <v>20190</v>
      </c>
      <c r="K1441" s="123">
        <f t="shared" si="81"/>
        <v>22410.9</v>
      </c>
      <c r="L1441" s="120">
        <f t="shared" si="82"/>
        <v>13356.8964</v>
      </c>
      <c r="M1441" t="s">
        <v>4140</v>
      </c>
    </row>
    <row r="1442" spans="1:13" x14ac:dyDescent="0.25">
      <c r="A1442" s="51"/>
      <c r="B1442" s="7" t="s">
        <v>3696</v>
      </c>
      <c r="C1442" s="7" t="s">
        <v>3755</v>
      </c>
      <c r="D1442" s="7" t="s">
        <v>656</v>
      </c>
      <c r="E1442" s="7" t="s">
        <v>3949</v>
      </c>
      <c r="F1442" s="7" t="s">
        <v>3747</v>
      </c>
      <c r="G1442" s="7"/>
      <c r="H1442" s="7"/>
      <c r="I1442" s="7"/>
      <c r="J1442" s="58">
        <v>20190</v>
      </c>
      <c r="K1442" s="123">
        <f t="shared" si="81"/>
        <v>22410.9</v>
      </c>
      <c r="L1442" s="120">
        <f t="shared" si="82"/>
        <v>13356.8964</v>
      </c>
      <c r="M1442" t="s">
        <v>4140</v>
      </c>
    </row>
    <row r="1443" spans="1:13" x14ac:dyDescent="0.25">
      <c r="A1443" s="51"/>
      <c r="B1443" s="7" t="s">
        <v>3697</v>
      </c>
      <c r="C1443" s="7" t="s">
        <v>3755</v>
      </c>
      <c r="D1443" s="7" t="s">
        <v>657</v>
      </c>
      <c r="E1443" s="7" t="s">
        <v>3950</v>
      </c>
      <c r="F1443" s="7" t="s">
        <v>3747</v>
      </c>
      <c r="G1443" s="7"/>
      <c r="H1443" s="7"/>
      <c r="I1443" s="7"/>
      <c r="J1443" s="58">
        <v>20190</v>
      </c>
      <c r="K1443" s="123">
        <f t="shared" si="81"/>
        <v>22410.9</v>
      </c>
      <c r="L1443" s="120">
        <f t="shared" si="82"/>
        <v>13356.8964</v>
      </c>
      <c r="M1443" t="s">
        <v>4140</v>
      </c>
    </row>
    <row r="1444" spans="1:13" x14ac:dyDescent="0.25">
      <c r="A1444" s="51"/>
      <c r="B1444" s="7" t="s">
        <v>3698</v>
      </c>
      <c r="C1444" s="7" t="s">
        <v>3755</v>
      </c>
      <c r="D1444" s="7" t="s">
        <v>658</v>
      </c>
      <c r="E1444" s="7" t="s">
        <v>3951</v>
      </c>
      <c r="F1444" s="7" t="s">
        <v>3747</v>
      </c>
      <c r="G1444" s="7"/>
      <c r="H1444" s="7"/>
      <c r="I1444" s="7"/>
      <c r="J1444" s="58">
        <v>20190</v>
      </c>
      <c r="K1444" s="123">
        <f t="shared" si="81"/>
        <v>22410.9</v>
      </c>
      <c r="L1444" s="120">
        <f t="shared" si="82"/>
        <v>13356.8964</v>
      </c>
      <c r="M1444" t="s">
        <v>4140</v>
      </c>
    </row>
    <row r="1445" spans="1:13" x14ac:dyDescent="0.25">
      <c r="A1445" s="51"/>
      <c r="B1445" s="7" t="s">
        <v>3699</v>
      </c>
      <c r="C1445" s="7" t="s">
        <v>3755</v>
      </c>
      <c r="D1445" s="7" t="s">
        <v>659</v>
      </c>
      <c r="E1445" s="7" t="s">
        <v>3952</v>
      </c>
      <c r="F1445" s="7" t="s">
        <v>3747</v>
      </c>
      <c r="G1445" s="7"/>
      <c r="H1445" s="7"/>
      <c r="I1445" s="7"/>
      <c r="J1445" s="58">
        <v>20190</v>
      </c>
      <c r="K1445" s="123">
        <f t="shared" si="81"/>
        <v>22410.9</v>
      </c>
      <c r="L1445" s="120">
        <f t="shared" si="82"/>
        <v>13356.8964</v>
      </c>
      <c r="M1445" t="s">
        <v>4140</v>
      </c>
    </row>
    <row r="1446" spans="1:13" x14ac:dyDescent="0.25">
      <c r="A1446" s="51"/>
      <c r="B1446" s="7" t="s">
        <v>3700</v>
      </c>
      <c r="C1446" s="7" t="s">
        <v>3755</v>
      </c>
      <c r="D1446" s="7" t="s">
        <v>660</v>
      </c>
      <c r="E1446" s="7" t="s">
        <v>3953</v>
      </c>
      <c r="F1446" s="7" t="s">
        <v>3747</v>
      </c>
      <c r="G1446" s="7"/>
      <c r="H1446" s="7"/>
      <c r="I1446" s="7"/>
      <c r="J1446" s="58">
        <v>20190</v>
      </c>
      <c r="K1446" s="123">
        <f t="shared" si="81"/>
        <v>22410.9</v>
      </c>
      <c r="L1446" s="120">
        <f t="shared" si="82"/>
        <v>13356.8964</v>
      </c>
      <c r="M1446" t="s">
        <v>4140</v>
      </c>
    </row>
    <row r="1447" spans="1:13" x14ac:dyDescent="0.25">
      <c r="A1447" s="51"/>
      <c r="B1447" s="7" t="s">
        <v>3701</v>
      </c>
      <c r="C1447" s="7" t="s">
        <v>3755</v>
      </c>
      <c r="D1447" s="7" t="s">
        <v>661</v>
      </c>
      <c r="E1447" s="7" t="s">
        <v>3954</v>
      </c>
      <c r="F1447" s="7" t="s">
        <v>3747</v>
      </c>
      <c r="G1447" s="7"/>
      <c r="H1447" s="7"/>
      <c r="I1447" s="7"/>
      <c r="J1447" s="58">
        <v>20190</v>
      </c>
      <c r="K1447" s="123">
        <f t="shared" si="81"/>
        <v>22410.9</v>
      </c>
      <c r="L1447" s="120">
        <f t="shared" si="82"/>
        <v>13356.8964</v>
      </c>
      <c r="M1447" t="s">
        <v>4140</v>
      </c>
    </row>
    <row r="1448" spans="1:13" x14ac:dyDescent="0.25">
      <c r="A1448" s="51"/>
      <c r="B1448" s="7" t="s">
        <v>3702</v>
      </c>
      <c r="C1448" s="7" t="s">
        <v>3755</v>
      </c>
      <c r="D1448" s="7" t="s">
        <v>149</v>
      </c>
      <c r="E1448" s="7" t="s">
        <v>3825</v>
      </c>
      <c r="F1448" s="7" t="s">
        <v>3747</v>
      </c>
      <c r="G1448" s="7"/>
      <c r="H1448" s="7"/>
      <c r="I1448" s="7"/>
      <c r="J1448" s="58">
        <v>15417</v>
      </c>
      <c r="K1448" s="123">
        <f t="shared" si="81"/>
        <v>17112.870000000003</v>
      </c>
      <c r="L1448" s="120">
        <f t="shared" si="82"/>
        <v>10199.270520000002</v>
      </c>
      <c r="M1448" t="s">
        <v>4140</v>
      </c>
    </row>
    <row r="1449" spans="1:13" x14ac:dyDescent="0.25">
      <c r="A1449" s="51"/>
      <c r="B1449" s="7" t="s">
        <v>3703</v>
      </c>
      <c r="C1449" s="7" t="s">
        <v>3755</v>
      </c>
      <c r="D1449" s="7" t="s">
        <v>662</v>
      </c>
      <c r="E1449" s="7" t="s">
        <v>3955</v>
      </c>
      <c r="F1449" s="7" t="s">
        <v>3747</v>
      </c>
      <c r="G1449" s="7"/>
      <c r="H1449" s="7"/>
      <c r="I1449" s="7"/>
      <c r="J1449" s="58">
        <v>15417</v>
      </c>
      <c r="K1449" s="123">
        <f t="shared" si="81"/>
        <v>17112.870000000003</v>
      </c>
      <c r="L1449" s="120">
        <f t="shared" si="82"/>
        <v>10199.270520000002</v>
      </c>
      <c r="M1449" t="s">
        <v>4140</v>
      </c>
    </row>
    <row r="1450" spans="1:13" x14ac:dyDescent="0.25">
      <c r="A1450" s="51"/>
      <c r="B1450" s="7" t="s">
        <v>3704</v>
      </c>
      <c r="C1450" s="7" t="s">
        <v>3755</v>
      </c>
      <c r="D1450" s="7" t="s">
        <v>663</v>
      </c>
      <c r="E1450" s="7" t="s">
        <v>3956</v>
      </c>
      <c r="F1450" s="7" t="s">
        <v>3747</v>
      </c>
      <c r="G1450" s="7"/>
      <c r="H1450" s="7"/>
      <c r="I1450" s="7"/>
      <c r="J1450" s="58">
        <v>20190</v>
      </c>
      <c r="K1450" s="123">
        <f t="shared" si="81"/>
        <v>22410.9</v>
      </c>
      <c r="L1450" s="120">
        <f t="shared" si="82"/>
        <v>13356.8964</v>
      </c>
      <c r="M1450" t="s">
        <v>4140</v>
      </c>
    </row>
    <row r="1451" spans="1:13" x14ac:dyDescent="0.25">
      <c r="A1451" s="51"/>
      <c r="B1451" s="7" t="s">
        <v>3705</v>
      </c>
      <c r="C1451" s="7" t="s">
        <v>3755</v>
      </c>
      <c r="D1451" s="7" t="s">
        <v>664</v>
      </c>
      <c r="E1451" s="7" t="s">
        <v>3957</v>
      </c>
      <c r="F1451" s="7" t="s">
        <v>3747</v>
      </c>
      <c r="G1451" s="7"/>
      <c r="H1451" s="7"/>
      <c r="I1451" s="7"/>
      <c r="J1451" s="58">
        <v>20190</v>
      </c>
      <c r="K1451" s="123">
        <f t="shared" si="81"/>
        <v>22410.9</v>
      </c>
      <c r="L1451" s="120">
        <f t="shared" si="82"/>
        <v>13356.8964</v>
      </c>
      <c r="M1451" t="s">
        <v>4140</v>
      </c>
    </row>
    <row r="1452" spans="1:13" x14ac:dyDescent="0.25">
      <c r="A1452" s="51"/>
      <c r="B1452" s="7" t="s">
        <v>3706</v>
      </c>
      <c r="C1452" s="7" t="s">
        <v>3755</v>
      </c>
      <c r="D1452" s="7" t="s">
        <v>665</v>
      </c>
      <c r="E1452" s="7" t="s">
        <v>3958</v>
      </c>
      <c r="F1452" s="7" t="s">
        <v>3747</v>
      </c>
      <c r="G1452" s="7"/>
      <c r="H1452" s="7"/>
      <c r="I1452" s="7"/>
      <c r="J1452" s="58">
        <v>20190</v>
      </c>
      <c r="K1452" s="123">
        <f t="shared" si="81"/>
        <v>22410.9</v>
      </c>
      <c r="L1452" s="120">
        <f t="shared" si="82"/>
        <v>13356.8964</v>
      </c>
      <c r="M1452" t="s">
        <v>4140</v>
      </c>
    </row>
    <row r="1453" spans="1:13" x14ac:dyDescent="0.25">
      <c r="A1453" s="51"/>
      <c r="B1453" s="7" t="s">
        <v>3707</v>
      </c>
      <c r="C1453" s="7" t="s">
        <v>3755</v>
      </c>
      <c r="D1453" s="7" t="s">
        <v>666</v>
      </c>
      <c r="E1453" s="7" t="s">
        <v>3959</v>
      </c>
      <c r="F1453" s="7" t="s">
        <v>3747</v>
      </c>
      <c r="G1453" s="7"/>
      <c r="H1453" s="7"/>
      <c r="I1453" s="7"/>
      <c r="J1453" s="58">
        <v>20190</v>
      </c>
      <c r="K1453" s="123">
        <f t="shared" si="81"/>
        <v>22410.9</v>
      </c>
      <c r="L1453" s="120">
        <f t="shared" si="82"/>
        <v>13356.8964</v>
      </c>
      <c r="M1453" t="s">
        <v>4140</v>
      </c>
    </row>
    <row r="1454" spans="1:13" x14ac:dyDescent="0.25">
      <c r="A1454" s="51"/>
      <c r="B1454" s="7" t="s">
        <v>3708</v>
      </c>
      <c r="C1454" s="7" t="s">
        <v>3755</v>
      </c>
      <c r="D1454" s="7" t="s">
        <v>667</v>
      </c>
      <c r="E1454" s="7" t="s">
        <v>3960</v>
      </c>
      <c r="F1454" s="7" t="s">
        <v>3747</v>
      </c>
      <c r="G1454" s="7"/>
      <c r="H1454" s="7"/>
      <c r="I1454" s="7"/>
      <c r="J1454" s="58">
        <v>20190</v>
      </c>
      <c r="K1454" s="123">
        <f t="shared" si="81"/>
        <v>22410.9</v>
      </c>
      <c r="L1454" s="120">
        <f t="shared" si="82"/>
        <v>13356.8964</v>
      </c>
      <c r="M1454" t="s">
        <v>4140</v>
      </c>
    </row>
    <row r="1455" spans="1:13" x14ac:dyDescent="0.25">
      <c r="A1455" s="51"/>
      <c r="B1455" s="7" t="s">
        <v>3709</v>
      </c>
      <c r="C1455" s="7" t="s">
        <v>3755</v>
      </c>
      <c r="D1455" s="7" t="s">
        <v>668</v>
      </c>
      <c r="E1455" s="7" t="s">
        <v>3961</v>
      </c>
      <c r="F1455" s="7" t="s">
        <v>3747</v>
      </c>
      <c r="G1455" s="7"/>
      <c r="H1455" s="7"/>
      <c r="I1455" s="7"/>
      <c r="J1455" s="58">
        <v>20190</v>
      </c>
      <c r="K1455" s="123">
        <f t="shared" si="81"/>
        <v>22410.9</v>
      </c>
      <c r="L1455" s="120">
        <f t="shared" si="82"/>
        <v>13356.8964</v>
      </c>
      <c r="M1455" t="s">
        <v>4140</v>
      </c>
    </row>
    <row r="1456" spans="1:13" x14ac:dyDescent="0.25">
      <c r="A1456" s="51"/>
      <c r="B1456" s="7" t="s">
        <v>3710</v>
      </c>
      <c r="C1456" s="7" t="s">
        <v>3755</v>
      </c>
      <c r="D1456" s="7" t="s">
        <v>669</v>
      </c>
      <c r="E1456" s="7" t="s">
        <v>3962</v>
      </c>
      <c r="F1456" s="7" t="s">
        <v>3747</v>
      </c>
      <c r="G1456" s="7"/>
      <c r="H1456" s="7"/>
      <c r="I1456" s="7"/>
      <c r="J1456" s="58">
        <v>20190</v>
      </c>
      <c r="K1456" s="123">
        <f t="shared" si="81"/>
        <v>22410.9</v>
      </c>
      <c r="L1456" s="120">
        <f t="shared" si="82"/>
        <v>13356.8964</v>
      </c>
      <c r="M1456" t="s">
        <v>4140</v>
      </c>
    </row>
    <row r="1457" spans="1:13" x14ac:dyDescent="0.25">
      <c r="A1457" s="51"/>
      <c r="B1457" s="7" t="s">
        <v>3711</v>
      </c>
      <c r="C1457" s="7" t="s">
        <v>3755</v>
      </c>
      <c r="D1457" s="7" t="s">
        <v>670</v>
      </c>
      <c r="E1457" s="7" t="s">
        <v>3963</v>
      </c>
      <c r="F1457" s="7" t="s">
        <v>3747</v>
      </c>
      <c r="G1457" s="7"/>
      <c r="H1457" s="7"/>
      <c r="I1457" s="7"/>
      <c r="J1457" s="58">
        <v>20190</v>
      </c>
      <c r="K1457" s="123">
        <f t="shared" si="81"/>
        <v>22410.9</v>
      </c>
      <c r="L1457" s="120">
        <f t="shared" si="82"/>
        <v>13356.8964</v>
      </c>
      <c r="M1457" t="s">
        <v>4140</v>
      </c>
    </row>
    <row r="1458" spans="1:13" x14ac:dyDescent="0.25">
      <c r="A1458" s="51"/>
      <c r="B1458" s="7" t="s">
        <v>3712</v>
      </c>
      <c r="C1458" s="7" t="s">
        <v>3755</v>
      </c>
      <c r="D1458" s="7" t="s">
        <v>671</v>
      </c>
      <c r="E1458" s="7" t="s">
        <v>3964</v>
      </c>
      <c r="F1458" s="7" t="s">
        <v>3747</v>
      </c>
      <c r="G1458" s="7"/>
      <c r="H1458" s="7"/>
      <c r="I1458" s="7"/>
      <c r="J1458" s="58">
        <v>20190</v>
      </c>
      <c r="K1458" s="123">
        <f t="shared" si="81"/>
        <v>22410.9</v>
      </c>
      <c r="L1458" s="120">
        <f t="shared" si="82"/>
        <v>13356.8964</v>
      </c>
      <c r="M1458" t="s">
        <v>4140</v>
      </c>
    </row>
    <row r="1459" spans="1:13" x14ac:dyDescent="0.25">
      <c r="A1459" s="51"/>
      <c r="B1459" s="7" t="s">
        <v>3713</v>
      </c>
      <c r="C1459" s="7" t="s">
        <v>3755</v>
      </c>
      <c r="D1459" s="7" t="s">
        <v>672</v>
      </c>
      <c r="E1459" s="7" t="s">
        <v>3965</v>
      </c>
      <c r="F1459" s="7" t="s">
        <v>3747</v>
      </c>
      <c r="G1459" s="7"/>
      <c r="H1459" s="7"/>
      <c r="I1459" s="7"/>
      <c r="J1459" s="58">
        <v>20190</v>
      </c>
      <c r="K1459" s="123">
        <f t="shared" si="81"/>
        <v>22410.9</v>
      </c>
      <c r="L1459" s="120">
        <f t="shared" si="82"/>
        <v>13356.8964</v>
      </c>
      <c r="M1459" t="s">
        <v>4140</v>
      </c>
    </row>
    <row r="1460" spans="1:13" x14ac:dyDescent="0.25">
      <c r="A1460" s="51"/>
      <c r="B1460" s="7" t="s">
        <v>3714</v>
      </c>
      <c r="C1460" s="7" t="s">
        <v>3755</v>
      </c>
      <c r="D1460" s="7" t="s">
        <v>673</v>
      </c>
      <c r="E1460" s="7" t="s">
        <v>3966</v>
      </c>
      <c r="F1460" s="7" t="s">
        <v>3747</v>
      </c>
      <c r="G1460" s="7"/>
      <c r="H1460" s="7"/>
      <c r="I1460" s="7"/>
      <c r="J1460" s="58">
        <v>20190</v>
      </c>
      <c r="K1460" s="123">
        <f t="shared" si="81"/>
        <v>22410.9</v>
      </c>
      <c r="L1460" s="120">
        <f t="shared" si="82"/>
        <v>13356.8964</v>
      </c>
      <c r="M1460" t="s">
        <v>4140</v>
      </c>
    </row>
    <row r="1461" spans="1:13" x14ac:dyDescent="0.25">
      <c r="A1461" s="51"/>
      <c r="B1461" s="7" t="s">
        <v>3715</v>
      </c>
      <c r="C1461" s="7" t="s">
        <v>3755</v>
      </c>
      <c r="D1461" s="7" t="s">
        <v>674</v>
      </c>
      <c r="E1461" s="7" t="s">
        <v>3967</v>
      </c>
      <c r="F1461" s="7" t="s">
        <v>3747</v>
      </c>
      <c r="G1461" s="7"/>
      <c r="H1461" s="7"/>
      <c r="I1461" s="7"/>
      <c r="J1461" s="58">
        <v>15417</v>
      </c>
      <c r="K1461" s="123">
        <f t="shared" si="81"/>
        <v>17112.870000000003</v>
      </c>
      <c r="L1461" s="120">
        <f t="shared" si="82"/>
        <v>10199.270520000002</v>
      </c>
      <c r="M1461" t="s">
        <v>4140</v>
      </c>
    </row>
    <row r="1462" spans="1:13" x14ac:dyDescent="0.25">
      <c r="A1462" s="51"/>
      <c r="B1462" s="7" t="s">
        <v>3716</v>
      </c>
      <c r="C1462" s="7" t="s">
        <v>3755</v>
      </c>
      <c r="D1462" s="7" t="s">
        <v>675</v>
      </c>
      <c r="E1462" s="7" t="s">
        <v>3968</v>
      </c>
      <c r="F1462" s="7" t="s">
        <v>3747</v>
      </c>
      <c r="G1462" s="7"/>
      <c r="H1462" s="7"/>
      <c r="I1462" s="7"/>
      <c r="J1462" s="58">
        <v>15417</v>
      </c>
      <c r="K1462" s="123">
        <f t="shared" si="81"/>
        <v>17112.870000000003</v>
      </c>
      <c r="L1462" s="120">
        <f t="shared" si="82"/>
        <v>10199.270520000002</v>
      </c>
      <c r="M1462" t="s">
        <v>4140</v>
      </c>
    </row>
    <row r="1463" spans="1:13" x14ac:dyDescent="0.25">
      <c r="A1463" s="51"/>
      <c r="B1463" s="7" t="s">
        <v>3717</v>
      </c>
      <c r="C1463" s="7" t="s">
        <v>3755</v>
      </c>
      <c r="D1463" s="7" t="s">
        <v>676</v>
      </c>
      <c r="E1463" s="7" t="s">
        <v>3969</v>
      </c>
      <c r="F1463" s="7" t="s">
        <v>3747</v>
      </c>
      <c r="G1463" s="7"/>
      <c r="H1463" s="7"/>
      <c r="I1463" s="7"/>
      <c r="J1463" s="58">
        <v>20190</v>
      </c>
      <c r="K1463" s="123">
        <f t="shared" si="81"/>
        <v>22410.9</v>
      </c>
      <c r="L1463" s="120">
        <f t="shared" si="82"/>
        <v>13356.8964</v>
      </c>
      <c r="M1463" t="s">
        <v>4140</v>
      </c>
    </row>
    <row r="1464" spans="1:13" x14ac:dyDescent="0.25">
      <c r="A1464" s="51"/>
      <c r="B1464" s="7" t="s">
        <v>3718</v>
      </c>
      <c r="C1464" s="7" t="s">
        <v>3755</v>
      </c>
      <c r="D1464" s="7" t="s">
        <v>677</v>
      </c>
      <c r="E1464" s="7" t="s">
        <v>3970</v>
      </c>
      <c r="F1464" s="7" t="s">
        <v>3747</v>
      </c>
      <c r="G1464" s="7"/>
      <c r="H1464" s="7"/>
      <c r="I1464" s="7"/>
      <c r="J1464" s="58">
        <v>20190</v>
      </c>
      <c r="K1464" s="123">
        <f t="shared" si="81"/>
        <v>22410.9</v>
      </c>
      <c r="L1464" s="120">
        <f t="shared" si="82"/>
        <v>13356.8964</v>
      </c>
      <c r="M1464" t="s">
        <v>4140</v>
      </c>
    </row>
    <row r="1465" spans="1:13" x14ac:dyDescent="0.25">
      <c r="A1465" s="51"/>
      <c r="B1465" s="7" t="s">
        <v>3719</v>
      </c>
      <c r="C1465" s="7" t="s">
        <v>3755</v>
      </c>
      <c r="D1465" s="7" t="s">
        <v>678</v>
      </c>
      <c r="E1465" s="7" t="s">
        <v>3971</v>
      </c>
      <c r="F1465" s="7" t="s">
        <v>3747</v>
      </c>
      <c r="G1465" s="7"/>
      <c r="H1465" s="7"/>
      <c r="I1465" s="7"/>
      <c r="J1465" s="58">
        <v>20190</v>
      </c>
      <c r="K1465" s="123">
        <f t="shared" si="81"/>
        <v>22410.9</v>
      </c>
      <c r="L1465" s="120">
        <f t="shared" si="82"/>
        <v>13356.8964</v>
      </c>
      <c r="M1465" t="s">
        <v>4140</v>
      </c>
    </row>
    <row r="1466" spans="1:13" x14ac:dyDescent="0.25">
      <c r="A1466" s="51"/>
      <c r="B1466" s="7" t="s">
        <v>3720</v>
      </c>
      <c r="C1466" s="7" t="s">
        <v>3755</v>
      </c>
      <c r="D1466" s="7" t="s">
        <v>679</v>
      </c>
      <c r="E1466" s="7" t="s">
        <v>3972</v>
      </c>
      <c r="F1466" s="7" t="s">
        <v>3747</v>
      </c>
      <c r="G1466" s="7"/>
      <c r="H1466" s="7"/>
      <c r="I1466" s="7"/>
      <c r="J1466" s="58">
        <v>20190</v>
      </c>
      <c r="K1466" s="123">
        <f t="shared" si="81"/>
        <v>22410.9</v>
      </c>
      <c r="L1466" s="120">
        <f t="shared" si="82"/>
        <v>13356.8964</v>
      </c>
      <c r="M1466" t="s">
        <v>4140</v>
      </c>
    </row>
    <row r="1467" spans="1:13" x14ac:dyDescent="0.25">
      <c r="A1467" s="51"/>
      <c r="B1467" s="7" t="s">
        <v>3721</v>
      </c>
      <c r="C1467" s="7" t="s">
        <v>3755</v>
      </c>
      <c r="D1467" s="7" t="s">
        <v>680</v>
      </c>
      <c r="E1467" s="7" t="s">
        <v>3973</v>
      </c>
      <c r="F1467" s="7" t="s">
        <v>3747</v>
      </c>
      <c r="G1467" s="7"/>
      <c r="H1467" s="7"/>
      <c r="I1467" s="7"/>
      <c r="J1467" s="58">
        <v>20190</v>
      </c>
      <c r="K1467" s="123">
        <f t="shared" si="81"/>
        <v>22410.9</v>
      </c>
      <c r="L1467" s="120">
        <f t="shared" si="82"/>
        <v>13356.8964</v>
      </c>
      <c r="M1467" t="s">
        <v>4140</v>
      </c>
    </row>
    <row r="1468" spans="1:13" x14ac:dyDescent="0.25">
      <c r="A1468" s="51"/>
      <c r="B1468" s="7" t="s">
        <v>3722</v>
      </c>
      <c r="C1468" s="7" t="s">
        <v>3755</v>
      </c>
      <c r="D1468" s="7" t="s">
        <v>681</v>
      </c>
      <c r="E1468" s="7" t="s">
        <v>3974</v>
      </c>
      <c r="F1468" s="7" t="s">
        <v>3747</v>
      </c>
      <c r="G1468" s="7"/>
      <c r="H1468" s="7"/>
      <c r="I1468" s="7"/>
      <c r="J1468" s="58">
        <v>20190</v>
      </c>
      <c r="K1468" s="123">
        <f t="shared" si="81"/>
        <v>22410.9</v>
      </c>
      <c r="L1468" s="120">
        <f t="shared" si="82"/>
        <v>13356.8964</v>
      </c>
      <c r="M1468" t="s">
        <v>4140</v>
      </c>
    </row>
    <row r="1469" spans="1:13" x14ac:dyDescent="0.25">
      <c r="A1469" s="51"/>
      <c r="B1469" s="7" t="s">
        <v>3723</v>
      </c>
      <c r="C1469" s="7" t="s">
        <v>3755</v>
      </c>
      <c r="D1469" s="7" t="s">
        <v>682</v>
      </c>
      <c r="E1469" s="7" t="s">
        <v>3975</v>
      </c>
      <c r="F1469" s="7" t="s">
        <v>3747</v>
      </c>
      <c r="G1469" s="7"/>
      <c r="H1469" s="7"/>
      <c r="I1469" s="7"/>
      <c r="J1469" s="58">
        <v>20190</v>
      </c>
      <c r="K1469" s="123">
        <f t="shared" si="81"/>
        <v>22410.9</v>
      </c>
      <c r="L1469" s="120">
        <f t="shared" si="82"/>
        <v>13356.8964</v>
      </c>
      <c r="M1469" t="s">
        <v>4140</v>
      </c>
    </row>
    <row r="1470" spans="1:13" x14ac:dyDescent="0.25">
      <c r="A1470" s="51"/>
      <c r="B1470" s="7" t="s">
        <v>3724</v>
      </c>
      <c r="C1470" s="7" t="s">
        <v>3755</v>
      </c>
      <c r="D1470" s="7" t="s">
        <v>683</v>
      </c>
      <c r="E1470" s="7" t="s">
        <v>3976</v>
      </c>
      <c r="F1470" s="7" t="s">
        <v>3747</v>
      </c>
      <c r="G1470" s="7"/>
      <c r="H1470" s="7"/>
      <c r="I1470" s="7"/>
      <c r="J1470" s="58">
        <v>20190</v>
      </c>
      <c r="K1470" s="123">
        <f t="shared" si="81"/>
        <v>22410.9</v>
      </c>
      <c r="L1470" s="120">
        <f t="shared" si="82"/>
        <v>13356.8964</v>
      </c>
      <c r="M1470" t="s">
        <v>4140</v>
      </c>
    </row>
    <row r="1471" spans="1:13" x14ac:dyDescent="0.25">
      <c r="A1471" s="51"/>
      <c r="B1471" s="7" t="s">
        <v>3725</v>
      </c>
      <c r="C1471" s="7" t="s">
        <v>3755</v>
      </c>
      <c r="D1471" s="7" t="s">
        <v>684</v>
      </c>
      <c r="E1471" s="7" t="s">
        <v>3977</v>
      </c>
      <c r="F1471" s="7" t="s">
        <v>3747</v>
      </c>
      <c r="G1471" s="7"/>
      <c r="H1471" s="7"/>
      <c r="I1471" s="7"/>
      <c r="J1471" s="58">
        <v>20190</v>
      </c>
      <c r="K1471" s="123">
        <f t="shared" si="81"/>
        <v>22410.9</v>
      </c>
      <c r="L1471" s="120">
        <f t="shared" si="82"/>
        <v>13356.8964</v>
      </c>
      <c r="M1471" t="s">
        <v>4140</v>
      </c>
    </row>
    <row r="1472" spans="1:13" x14ac:dyDescent="0.25">
      <c r="A1472" s="51"/>
      <c r="B1472" s="7" t="s">
        <v>3726</v>
      </c>
      <c r="C1472" s="7" t="s">
        <v>3755</v>
      </c>
      <c r="D1472" s="7" t="s">
        <v>685</v>
      </c>
      <c r="E1472" s="7" t="s">
        <v>3978</v>
      </c>
      <c r="F1472" s="7" t="s">
        <v>3747</v>
      </c>
      <c r="G1472" s="7"/>
      <c r="H1472" s="7"/>
      <c r="I1472" s="7"/>
      <c r="J1472" s="58">
        <v>20190</v>
      </c>
      <c r="K1472" s="123">
        <f t="shared" si="81"/>
        <v>22410.9</v>
      </c>
      <c r="L1472" s="120">
        <f t="shared" si="82"/>
        <v>13356.8964</v>
      </c>
      <c r="M1472" t="s">
        <v>4140</v>
      </c>
    </row>
    <row r="1473" spans="1:13" x14ac:dyDescent="0.25">
      <c r="A1473" s="51"/>
      <c r="B1473" s="7" t="s">
        <v>3727</v>
      </c>
      <c r="C1473" s="7" t="s">
        <v>3755</v>
      </c>
      <c r="D1473" s="7" t="s">
        <v>686</v>
      </c>
      <c r="E1473" s="7" t="s">
        <v>3979</v>
      </c>
      <c r="F1473" s="7" t="s">
        <v>3747</v>
      </c>
      <c r="G1473" s="7"/>
      <c r="H1473" s="7"/>
      <c r="I1473" s="7"/>
      <c r="J1473" s="58">
        <v>20190</v>
      </c>
      <c r="K1473" s="123">
        <f t="shared" si="81"/>
        <v>22410.9</v>
      </c>
      <c r="L1473" s="120">
        <f t="shared" si="82"/>
        <v>13356.8964</v>
      </c>
      <c r="M1473" t="s">
        <v>4140</v>
      </c>
    </row>
    <row r="1474" spans="1:13" x14ac:dyDescent="0.25">
      <c r="A1474" s="51"/>
      <c r="B1474" s="7" t="s">
        <v>3728</v>
      </c>
      <c r="C1474" s="7" t="s">
        <v>3755</v>
      </c>
      <c r="D1474" s="7" t="s">
        <v>687</v>
      </c>
      <c r="E1474" s="7" t="s">
        <v>3980</v>
      </c>
      <c r="F1474" s="7" t="s">
        <v>3747</v>
      </c>
      <c r="G1474" s="7"/>
      <c r="H1474" s="7"/>
      <c r="I1474" s="7"/>
      <c r="J1474" s="58">
        <v>15417</v>
      </c>
      <c r="K1474" s="123">
        <f t="shared" si="81"/>
        <v>17112.870000000003</v>
      </c>
      <c r="L1474" s="120">
        <f t="shared" si="82"/>
        <v>10199.270520000002</v>
      </c>
      <c r="M1474" t="s">
        <v>4140</v>
      </c>
    </row>
    <row r="1475" spans="1:13" x14ac:dyDescent="0.25">
      <c r="A1475" s="51"/>
      <c r="B1475" s="7" t="s">
        <v>3729</v>
      </c>
      <c r="C1475" s="7" t="s">
        <v>3755</v>
      </c>
      <c r="D1475" s="7" t="s">
        <v>688</v>
      </c>
      <c r="E1475" s="7" t="s">
        <v>3981</v>
      </c>
      <c r="F1475" s="7" t="s">
        <v>3747</v>
      </c>
      <c r="G1475" s="7"/>
      <c r="H1475" s="7"/>
      <c r="I1475" s="7"/>
      <c r="J1475" s="58">
        <v>15417</v>
      </c>
      <c r="K1475" s="123">
        <f t="shared" si="81"/>
        <v>17112.870000000003</v>
      </c>
      <c r="L1475" s="120">
        <f t="shared" si="82"/>
        <v>10199.270520000002</v>
      </c>
      <c r="M1475" t="s">
        <v>4140</v>
      </c>
    </row>
    <row r="1476" spans="1:13" x14ac:dyDescent="0.25">
      <c r="A1476" s="51"/>
      <c r="B1476" s="7" t="s">
        <v>3730</v>
      </c>
      <c r="C1476" s="7" t="s">
        <v>3755</v>
      </c>
      <c r="D1476" s="7" t="s">
        <v>689</v>
      </c>
      <c r="E1476" s="7" t="s">
        <v>3982</v>
      </c>
      <c r="F1476" s="7" t="s">
        <v>3747</v>
      </c>
      <c r="G1476" s="7"/>
      <c r="H1476" s="7"/>
      <c r="I1476" s="7"/>
      <c r="J1476" s="58">
        <v>20190</v>
      </c>
      <c r="K1476" s="123">
        <f t="shared" si="81"/>
        <v>22410.9</v>
      </c>
      <c r="L1476" s="120">
        <f t="shared" si="82"/>
        <v>13356.8964</v>
      </c>
      <c r="M1476" t="s">
        <v>4140</v>
      </c>
    </row>
    <row r="1477" spans="1:13" x14ac:dyDescent="0.25">
      <c r="A1477" s="51"/>
      <c r="B1477" s="7" t="s">
        <v>3731</v>
      </c>
      <c r="C1477" s="7" t="s">
        <v>3755</v>
      </c>
      <c r="D1477" s="7" t="s">
        <v>690</v>
      </c>
      <c r="E1477" s="7" t="s">
        <v>3983</v>
      </c>
      <c r="F1477" s="7" t="s">
        <v>3747</v>
      </c>
      <c r="G1477" s="7"/>
      <c r="H1477" s="7"/>
      <c r="I1477" s="7"/>
      <c r="J1477" s="58">
        <v>20190</v>
      </c>
      <c r="K1477" s="123">
        <f t="shared" si="81"/>
        <v>22410.9</v>
      </c>
      <c r="L1477" s="120">
        <f t="shared" si="82"/>
        <v>13356.8964</v>
      </c>
      <c r="M1477" t="s">
        <v>4140</v>
      </c>
    </row>
    <row r="1478" spans="1:13" x14ac:dyDescent="0.25">
      <c r="A1478" s="51"/>
      <c r="B1478" s="7" t="s">
        <v>3732</v>
      </c>
      <c r="C1478" s="7" t="s">
        <v>3755</v>
      </c>
      <c r="D1478" s="7" t="s">
        <v>691</v>
      </c>
      <c r="E1478" s="7" t="s">
        <v>3984</v>
      </c>
      <c r="F1478" s="7" t="s">
        <v>3747</v>
      </c>
      <c r="G1478" s="7"/>
      <c r="H1478" s="7"/>
      <c r="I1478" s="7"/>
      <c r="J1478" s="58">
        <v>20190</v>
      </c>
      <c r="K1478" s="123">
        <f t="shared" si="81"/>
        <v>22410.9</v>
      </c>
      <c r="L1478" s="120">
        <f t="shared" si="82"/>
        <v>13356.8964</v>
      </c>
      <c r="M1478" t="s">
        <v>4140</v>
      </c>
    </row>
    <row r="1479" spans="1:13" x14ac:dyDescent="0.25">
      <c r="A1479" s="51"/>
      <c r="B1479" s="7" t="s">
        <v>3733</v>
      </c>
      <c r="C1479" s="7" t="s">
        <v>3755</v>
      </c>
      <c r="D1479" s="7" t="s">
        <v>692</v>
      </c>
      <c r="E1479" s="7" t="s">
        <v>3985</v>
      </c>
      <c r="F1479" s="7" t="s">
        <v>3747</v>
      </c>
      <c r="G1479" s="7"/>
      <c r="H1479" s="7"/>
      <c r="I1479" s="7"/>
      <c r="J1479" s="58">
        <v>20190</v>
      </c>
      <c r="K1479" s="123">
        <f t="shared" si="81"/>
        <v>22410.9</v>
      </c>
      <c r="L1479" s="120">
        <f t="shared" si="82"/>
        <v>13356.8964</v>
      </c>
      <c r="M1479" t="s">
        <v>4140</v>
      </c>
    </row>
    <row r="1480" spans="1:13" x14ac:dyDescent="0.25">
      <c r="A1480" s="51"/>
      <c r="B1480" s="7" t="s">
        <v>3734</v>
      </c>
      <c r="C1480" s="7" t="s">
        <v>3755</v>
      </c>
      <c r="D1480" s="7" t="s">
        <v>693</v>
      </c>
      <c r="E1480" s="7" t="s">
        <v>3986</v>
      </c>
      <c r="F1480" s="7" t="s">
        <v>3747</v>
      </c>
      <c r="G1480" s="7"/>
      <c r="H1480" s="7"/>
      <c r="I1480" s="7"/>
      <c r="J1480" s="58">
        <v>20190</v>
      </c>
      <c r="K1480" s="123">
        <f t="shared" si="81"/>
        <v>22410.9</v>
      </c>
      <c r="L1480" s="120">
        <f t="shared" si="82"/>
        <v>13356.8964</v>
      </c>
      <c r="M1480" t="s">
        <v>4140</v>
      </c>
    </row>
    <row r="1481" spans="1:13" x14ac:dyDescent="0.25">
      <c r="A1481" s="51"/>
      <c r="B1481" s="7" t="s">
        <v>3735</v>
      </c>
      <c r="C1481" s="7" t="s">
        <v>3755</v>
      </c>
      <c r="D1481" s="7" t="s">
        <v>694</v>
      </c>
      <c r="E1481" s="7" t="s">
        <v>3987</v>
      </c>
      <c r="F1481" s="7" t="s">
        <v>3747</v>
      </c>
      <c r="G1481" s="7"/>
      <c r="H1481" s="7"/>
      <c r="I1481" s="7"/>
      <c r="J1481" s="58">
        <v>20190</v>
      </c>
      <c r="K1481" s="123">
        <f t="shared" si="81"/>
        <v>22410.9</v>
      </c>
      <c r="L1481" s="120">
        <f t="shared" si="82"/>
        <v>13356.8964</v>
      </c>
      <c r="M1481" t="s">
        <v>4140</v>
      </c>
    </row>
    <row r="1482" spans="1:13" x14ac:dyDescent="0.25">
      <c r="A1482" s="51"/>
      <c r="B1482" s="7" t="s">
        <v>3736</v>
      </c>
      <c r="C1482" s="7" t="s">
        <v>3755</v>
      </c>
      <c r="D1482" s="7" t="s">
        <v>695</v>
      </c>
      <c r="E1482" s="7" t="s">
        <v>3988</v>
      </c>
      <c r="F1482" s="7" t="s">
        <v>3747</v>
      </c>
      <c r="G1482" s="7"/>
      <c r="H1482" s="7"/>
      <c r="I1482" s="7"/>
      <c r="J1482" s="58">
        <v>20190</v>
      </c>
      <c r="K1482" s="123">
        <f t="shared" si="81"/>
        <v>22410.9</v>
      </c>
      <c r="L1482" s="120">
        <f t="shared" si="82"/>
        <v>13356.8964</v>
      </c>
      <c r="M1482" t="s">
        <v>4140</v>
      </c>
    </row>
    <row r="1483" spans="1:13" x14ac:dyDescent="0.25">
      <c r="A1483" s="51"/>
      <c r="B1483" s="7" t="s">
        <v>3737</v>
      </c>
      <c r="C1483" s="7" t="s">
        <v>3755</v>
      </c>
      <c r="D1483" s="7" t="s">
        <v>696</v>
      </c>
      <c r="E1483" s="7" t="s">
        <v>3989</v>
      </c>
      <c r="F1483" s="7" t="s">
        <v>3747</v>
      </c>
      <c r="G1483" s="7"/>
      <c r="H1483" s="7"/>
      <c r="I1483" s="7"/>
      <c r="J1483" s="58">
        <v>20190</v>
      </c>
      <c r="K1483" s="123">
        <f t="shared" si="81"/>
        <v>22410.9</v>
      </c>
      <c r="L1483" s="120">
        <f t="shared" si="82"/>
        <v>13356.8964</v>
      </c>
      <c r="M1483" t="s">
        <v>4140</v>
      </c>
    </row>
    <row r="1484" spans="1:13" x14ac:dyDescent="0.25">
      <c r="A1484" s="51"/>
      <c r="B1484" s="7" t="s">
        <v>3738</v>
      </c>
      <c r="C1484" s="7" t="s">
        <v>3755</v>
      </c>
      <c r="D1484" s="7" t="s">
        <v>697</v>
      </c>
      <c r="E1484" s="7" t="s">
        <v>3990</v>
      </c>
      <c r="F1484" s="7" t="s">
        <v>3747</v>
      </c>
      <c r="G1484" s="7"/>
      <c r="H1484" s="7"/>
      <c r="I1484" s="7"/>
      <c r="J1484" s="58">
        <v>20190</v>
      </c>
      <c r="K1484" s="123">
        <f t="shared" si="81"/>
        <v>22410.9</v>
      </c>
      <c r="L1484" s="120">
        <f t="shared" si="82"/>
        <v>13356.8964</v>
      </c>
      <c r="M1484" t="s">
        <v>4140</v>
      </c>
    </row>
    <row r="1485" spans="1:13" x14ac:dyDescent="0.25">
      <c r="A1485" s="51"/>
      <c r="B1485" s="7" t="s">
        <v>3739</v>
      </c>
      <c r="C1485" s="7" t="s">
        <v>3755</v>
      </c>
      <c r="D1485" s="7" t="s">
        <v>698</v>
      </c>
      <c r="E1485" s="7" t="s">
        <v>3991</v>
      </c>
      <c r="F1485" s="7" t="s">
        <v>3747</v>
      </c>
      <c r="G1485" s="7"/>
      <c r="H1485" s="7"/>
      <c r="I1485" s="7"/>
      <c r="J1485" s="58">
        <v>20190</v>
      </c>
      <c r="K1485" s="123">
        <f t="shared" si="81"/>
        <v>22410.9</v>
      </c>
      <c r="L1485" s="120">
        <f t="shared" si="82"/>
        <v>13356.8964</v>
      </c>
      <c r="M1485" t="s">
        <v>4140</v>
      </c>
    </row>
    <row r="1486" spans="1:13" x14ac:dyDescent="0.25">
      <c r="A1486" s="125"/>
      <c r="B1486" s="7" t="s">
        <v>3740</v>
      </c>
      <c r="C1486" s="7" t="s">
        <v>3755</v>
      </c>
      <c r="D1486" s="7" t="s">
        <v>699</v>
      </c>
      <c r="E1486" s="7" t="s">
        <v>3992</v>
      </c>
      <c r="F1486" s="7" t="s">
        <v>3747</v>
      </c>
      <c r="G1486" s="7"/>
      <c r="H1486" s="7"/>
      <c r="I1486" s="7"/>
      <c r="J1486" s="58">
        <v>20190</v>
      </c>
      <c r="K1486" s="123">
        <f t="shared" si="81"/>
        <v>22410.9</v>
      </c>
      <c r="L1486" s="120">
        <f t="shared" si="82"/>
        <v>13356.8964</v>
      </c>
      <c r="M1486" t="s">
        <v>4140</v>
      </c>
    </row>
  </sheetData>
  <sheetProtection sort="0"/>
  <pageMargins left="0.25" right="0.25" top="0.75" bottom="0.75" header="0.3" footer="0.3"/>
  <pageSetup scale="2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C9FB5-95BD-411E-A595-98DCE6698B54}">
  <dimension ref="A1:K293"/>
  <sheetViews>
    <sheetView workbookViewId="0">
      <selection activeCell="H293" sqref="H293"/>
    </sheetView>
  </sheetViews>
  <sheetFormatPr defaultRowHeight="15" x14ac:dyDescent="0.25"/>
  <cols>
    <col min="1" max="1" width="34.28515625" customWidth="1"/>
    <col min="2" max="2" width="40.28515625" customWidth="1"/>
    <col min="3" max="3" width="39.42578125" customWidth="1"/>
    <col min="4" max="4" width="20" customWidth="1"/>
    <col min="5" max="5" width="30.140625" style="93" customWidth="1"/>
    <col min="6" max="6" width="41.85546875" customWidth="1"/>
    <col min="7" max="7" width="0.140625" hidden="1" customWidth="1"/>
    <col min="8" max="8" width="17.28515625" customWidth="1"/>
    <col min="9" max="9" width="18.140625" customWidth="1"/>
    <col min="10" max="10" width="23.5703125" customWidth="1"/>
  </cols>
  <sheetData>
    <row r="1" spans="1:11" ht="67.5" customHeight="1" x14ac:dyDescent="0.25">
      <c r="A1" s="82" t="s">
        <v>2899</v>
      </c>
      <c r="B1" s="12" t="s">
        <v>3</v>
      </c>
      <c r="C1" s="12" t="s">
        <v>0</v>
      </c>
      <c r="D1" s="12" t="s">
        <v>4</v>
      </c>
      <c r="E1" s="89" t="s">
        <v>1</v>
      </c>
      <c r="F1" s="12" t="s">
        <v>2</v>
      </c>
      <c r="G1" s="33" t="s">
        <v>3202</v>
      </c>
      <c r="H1" s="33" t="s">
        <v>3245</v>
      </c>
      <c r="I1" s="33" t="s">
        <v>3244</v>
      </c>
      <c r="J1" s="12" t="s">
        <v>3215</v>
      </c>
    </row>
    <row r="2" spans="1:11" s="62" customFormat="1" ht="16.5" customHeight="1" x14ac:dyDescent="0.25">
      <c r="A2" s="61" t="s">
        <v>2936</v>
      </c>
      <c r="B2" s="71"/>
      <c r="C2" s="71"/>
      <c r="D2" s="71"/>
      <c r="E2" s="90"/>
      <c r="F2" s="71"/>
      <c r="G2" s="71"/>
      <c r="H2" s="71"/>
      <c r="I2" s="72"/>
      <c r="J2" s="71"/>
    </row>
    <row r="3" spans="1:11" x14ac:dyDescent="0.25">
      <c r="A3" s="4"/>
      <c r="B3" s="6" t="s">
        <v>1956</v>
      </c>
      <c r="C3" s="1" t="s">
        <v>1933</v>
      </c>
      <c r="D3" s="1" t="s">
        <v>1980</v>
      </c>
      <c r="E3" s="91" t="s">
        <v>2309</v>
      </c>
      <c r="F3" s="7" t="s">
        <v>1937</v>
      </c>
      <c r="G3" s="11">
        <v>1760</v>
      </c>
      <c r="H3" s="107">
        <f>G3*1.08</f>
        <v>1900.8000000000002</v>
      </c>
      <c r="I3" s="109">
        <v>1900.8000000000002</v>
      </c>
      <c r="J3" s="34">
        <f t="shared" ref="J3:J29" si="0">I3*0.596</f>
        <v>1132.8768</v>
      </c>
      <c r="K3" t="s">
        <v>3246</v>
      </c>
    </row>
    <row r="4" spans="1:11" x14ac:dyDescent="0.25">
      <c r="A4" s="4"/>
      <c r="B4" s="6"/>
      <c r="C4" s="1"/>
      <c r="D4" s="1"/>
      <c r="E4" s="91"/>
      <c r="F4" s="7"/>
      <c r="G4" s="11"/>
      <c r="H4" s="107"/>
      <c r="I4" s="109"/>
      <c r="J4" s="34"/>
    </row>
    <row r="5" spans="1:11" x14ac:dyDescent="0.25">
      <c r="B5" s="6" t="s">
        <v>1957</v>
      </c>
      <c r="C5" s="1" t="s">
        <v>1934</v>
      </c>
      <c r="D5" s="1" t="s">
        <v>1980</v>
      </c>
      <c r="E5" s="91" t="s">
        <v>2310</v>
      </c>
      <c r="F5" s="7" t="s">
        <v>1938</v>
      </c>
      <c r="G5" s="11">
        <v>1924</v>
      </c>
      <c r="H5" s="107">
        <f t="shared" ref="H5:H67" si="1">G5*1.08</f>
        <v>2077.92</v>
      </c>
      <c r="I5" s="109">
        <v>2077.92</v>
      </c>
      <c r="J5" s="34">
        <f t="shared" si="0"/>
        <v>1238.4403199999999</v>
      </c>
      <c r="K5" t="s">
        <v>3246</v>
      </c>
    </row>
    <row r="6" spans="1:11" x14ac:dyDescent="0.25">
      <c r="B6" s="6"/>
      <c r="C6" s="1"/>
      <c r="D6" s="1"/>
      <c r="E6" s="91"/>
      <c r="F6" s="7"/>
      <c r="G6" s="11"/>
      <c r="H6" s="107"/>
      <c r="I6" s="109"/>
      <c r="J6" s="34"/>
    </row>
    <row r="7" spans="1:11" x14ac:dyDescent="0.25">
      <c r="B7" s="6" t="s">
        <v>1958</v>
      </c>
      <c r="C7" s="1" t="s">
        <v>1935</v>
      </c>
      <c r="D7" s="1" t="s">
        <v>1980</v>
      </c>
      <c r="E7" s="91" t="s">
        <v>2311</v>
      </c>
      <c r="F7" s="7" t="s">
        <v>1938</v>
      </c>
      <c r="G7" s="11">
        <v>1924</v>
      </c>
      <c r="H7" s="107">
        <f t="shared" si="1"/>
        <v>2077.92</v>
      </c>
      <c r="I7" s="109">
        <v>2077.92</v>
      </c>
      <c r="J7" s="34">
        <f t="shared" si="0"/>
        <v>1238.4403199999999</v>
      </c>
      <c r="K7" t="s">
        <v>3246</v>
      </c>
    </row>
    <row r="8" spans="1:11" x14ac:dyDescent="0.25">
      <c r="B8" s="6"/>
      <c r="C8" s="1"/>
      <c r="D8" s="1"/>
      <c r="E8" s="91"/>
      <c r="F8" s="7"/>
      <c r="G8" s="11"/>
      <c r="H8" s="107"/>
      <c r="I8" s="109"/>
      <c r="J8" s="34"/>
    </row>
    <row r="9" spans="1:11" x14ac:dyDescent="0.25">
      <c r="B9" s="6" t="s">
        <v>1959</v>
      </c>
      <c r="C9" s="1" t="s">
        <v>1936</v>
      </c>
      <c r="D9" s="1" t="s">
        <v>1980</v>
      </c>
      <c r="E9" s="91" t="s">
        <v>2312</v>
      </c>
      <c r="F9" s="7" t="s">
        <v>1939</v>
      </c>
      <c r="G9" s="11">
        <v>2088</v>
      </c>
      <c r="H9" s="107">
        <f t="shared" si="1"/>
        <v>2255.04</v>
      </c>
      <c r="I9" s="109">
        <v>2255.04</v>
      </c>
      <c r="J9" s="34">
        <f t="shared" si="0"/>
        <v>1344.0038399999999</v>
      </c>
      <c r="K9" t="s">
        <v>3246</v>
      </c>
    </row>
    <row r="10" spans="1:11" x14ac:dyDescent="0.25">
      <c r="B10" s="6"/>
      <c r="C10" s="1"/>
      <c r="D10" s="1"/>
      <c r="E10" s="91"/>
      <c r="F10" s="7"/>
      <c r="G10" s="11"/>
      <c r="H10" s="107"/>
      <c r="I10" s="109"/>
      <c r="J10" s="34"/>
    </row>
    <row r="11" spans="1:11" x14ac:dyDescent="0.25">
      <c r="B11" s="6" t="s">
        <v>1960</v>
      </c>
      <c r="C11" s="1" t="s">
        <v>1933</v>
      </c>
      <c r="D11" s="1" t="s">
        <v>1981</v>
      </c>
      <c r="E11" s="91" t="s">
        <v>2313</v>
      </c>
      <c r="F11" s="7" t="s">
        <v>1937</v>
      </c>
      <c r="G11" s="11">
        <v>1814</v>
      </c>
      <c r="H11" s="107">
        <f t="shared" si="1"/>
        <v>1959.1200000000001</v>
      </c>
      <c r="I11" s="109">
        <v>1959.1200000000001</v>
      </c>
      <c r="J11" s="34">
        <f t="shared" si="0"/>
        <v>1167.63552</v>
      </c>
      <c r="K11" t="s">
        <v>3246</v>
      </c>
    </row>
    <row r="12" spans="1:11" x14ac:dyDescent="0.25">
      <c r="B12" s="6"/>
      <c r="C12" s="1"/>
      <c r="D12" s="1"/>
      <c r="E12" s="91"/>
      <c r="F12" s="7"/>
      <c r="G12" s="11"/>
      <c r="H12" s="107"/>
      <c r="I12" s="109"/>
      <c r="J12" s="34"/>
    </row>
    <row r="13" spans="1:11" x14ac:dyDescent="0.25">
      <c r="B13" s="6" t="s">
        <v>1961</v>
      </c>
      <c r="C13" s="1" t="s">
        <v>1934</v>
      </c>
      <c r="D13" s="1" t="s">
        <v>1981</v>
      </c>
      <c r="E13" s="91" t="s">
        <v>2314</v>
      </c>
      <c r="F13" s="7" t="s">
        <v>1938</v>
      </c>
      <c r="G13" s="11">
        <v>1977</v>
      </c>
      <c r="H13" s="107">
        <f t="shared" si="1"/>
        <v>2135.1600000000003</v>
      </c>
      <c r="I13" s="109">
        <v>2135.1600000000003</v>
      </c>
      <c r="J13" s="34">
        <f t="shared" si="0"/>
        <v>1272.5553600000001</v>
      </c>
      <c r="K13" t="s">
        <v>3246</v>
      </c>
    </row>
    <row r="14" spans="1:11" x14ac:dyDescent="0.25">
      <c r="B14" s="6"/>
      <c r="C14" s="1"/>
      <c r="D14" s="1"/>
      <c r="E14" s="91"/>
      <c r="F14" s="7"/>
      <c r="G14" s="11"/>
      <c r="H14" s="107"/>
      <c r="I14" s="109"/>
      <c r="J14" s="34"/>
    </row>
    <row r="15" spans="1:11" x14ac:dyDescent="0.25">
      <c r="B15" s="6" t="s">
        <v>1962</v>
      </c>
      <c r="C15" s="1" t="s">
        <v>1935</v>
      </c>
      <c r="D15" s="1" t="s">
        <v>1981</v>
      </c>
      <c r="E15" s="91" t="s">
        <v>2315</v>
      </c>
      <c r="F15" s="7" t="s">
        <v>1938</v>
      </c>
      <c r="G15" s="11">
        <v>1977</v>
      </c>
      <c r="H15" s="107">
        <f t="shared" si="1"/>
        <v>2135.1600000000003</v>
      </c>
      <c r="I15" s="109">
        <v>2135.1600000000003</v>
      </c>
      <c r="J15" s="34">
        <f t="shared" si="0"/>
        <v>1272.5553600000001</v>
      </c>
      <c r="K15" t="s">
        <v>3246</v>
      </c>
    </row>
    <row r="16" spans="1:11" x14ac:dyDescent="0.25">
      <c r="B16" s="6"/>
      <c r="C16" s="1"/>
      <c r="D16" s="1"/>
      <c r="E16" s="91"/>
      <c r="F16" s="7"/>
      <c r="G16" s="11"/>
      <c r="H16" s="107"/>
      <c r="I16" s="109"/>
      <c r="J16" s="34"/>
    </row>
    <row r="17" spans="1:11" x14ac:dyDescent="0.25">
      <c r="B17" s="6" t="s">
        <v>1963</v>
      </c>
      <c r="C17" s="1" t="s">
        <v>1936</v>
      </c>
      <c r="D17" s="1" t="s">
        <v>1981</v>
      </c>
      <c r="E17" s="91" t="s">
        <v>2316</v>
      </c>
      <c r="F17" s="7" t="s">
        <v>1939</v>
      </c>
      <c r="G17" s="11">
        <v>2143</v>
      </c>
      <c r="H17" s="107">
        <f t="shared" si="1"/>
        <v>2314.44</v>
      </c>
      <c r="I17" s="109">
        <v>2314.44</v>
      </c>
      <c r="J17" s="34">
        <f t="shared" si="0"/>
        <v>1379.40624</v>
      </c>
      <c r="K17" t="s">
        <v>3246</v>
      </c>
    </row>
    <row r="18" spans="1:11" x14ac:dyDescent="0.25">
      <c r="B18" s="6"/>
      <c r="C18" s="1"/>
      <c r="D18" s="1"/>
      <c r="E18" s="91"/>
      <c r="F18" s="7"/>
      <c r="G18" s="11"/>
      <c r="H18" s="107"/>
      <c r="I18" s="109"/>
      <c r="J18" s="34"/>
    </row>
    <row r="19" spans="1:11" x14ac:dyDescent="0.25">
      <c r="B19" s="6" t="s">
        <v>1964</v>
      </c>
      <c r="C19" s="1" t="s">
        <v>1933</v>
      </c>
      <c r="D19" s="1" t="s">
        <v>1982</v>
      </c>
      <c r="E19" s="91" t="s">
        <v>2317</v>
      </c>
      <c r="F19" s="7" t="s">
        <v>1937</v>
      </c>
      <c r="G19" s="11">
        <v>1868</v>
      </c>
      <c r="H19" s="107">
        <f t="shared" si="1"/>
        <v>2017.44</v>
      </c>
      <c r="I19" s="109">
        <v>2017.44</v>
      </c>
      <c r="J19" s="34">
        <f t="shared" si="0"/>
        <v>1202.3942400000001</v>
      </c>
      <c r="K19" t="s">
        <v>3246</v>
      </c>
    </row>
    <row r="20" spans="1:11" x14ac:dyDescent="0.25">
      <c r="B20" s="6"/>
      <c r="C20" s="1"/>
      <c r="D20" s="1"/>
      <c r="E20" s="91"/>
      <c r="F20" s="7"/>
      <c r="G20" s="11"/>
      <c r="H20" s="107"/>
      <c r="I20" s="109"/>
      <c r="J20" s="34"/>
    </row>
    <row r="21" spans="1:11" x14ac:dyDescent="0.25">
      <c r="B21" s="6" t="s">
        <v>1965</v>
      </c>
      <c r="C21" s="1" t="s">
        <v>1934</v>
      </c>
      <c r="D21" s="1" t="s">
        <v>1982</v>
      </c>
      <c r="E21" s="91" t="s">
        <v>2318</v>
      </c>
      <c r="F21" s="7" t="s">
        <v>1938</v>
      </c>
      <c r="G21" s="11">
        <v>2032</v>
      </c>
      <c r="H21" s="107">
        <f t="shared" si="1"/>
        <v>2194.56</v>
      </c>
      <c r="I21" s="109">
        <v>2194.56</v>
      </c>
      <c r="J21" s="34">
        <f t="shared" si="0"/>
        <v>1307.95776</v>
      </c>
      <c r="K21" t="s">
        <v>3246</v>
      </c>
    </row>
    <row r="22" spans="1:11" x14ac:dyDescent="0.25">
      <c r="B22" s="6"/>
      <c r="C22" s="1"/>
      <c r="D22" s="1"/>
      <c r="E22" s="91"/>
      <c r="F22" s="7"/>
      <c r="G22" s="11"/>
      <c r="H22" s="107"/>
      <c r="I22" s="109"/>
      <c r="J22" s="34"/>
    </row>
    <row r="23" spans="1:11" x14ac:dyDescent="0.25">
      <c r="B23" s="6" t="s">
        <v>1966</v>
      </c>
      <c r="C23" s="1" t="s">
        <v>1935</v>
      </c>
      <c r="D23" s="1" t="s">
        <v>1982</v>
      </c>
      <c r="E23" s="91" t="s">
        <v>2319</v>
      </c>
      <c r="F23" s="7" t="s">
        <v>1938</v>
      </c>
      <c r="G23" s="11">
        <v>2032</v>
      </c>
      <c r="H23" s="107">
        <f t="shared" si="1"/>
        <v>2194.56</v>
      </c>
      <c r="I23" s="109">
        <v>2194.56</v>
      </c>
      <c r="J23" s="34">
        <f t="shared" si="0"/>
        <v>1307.95776</v>
      </c>
      <c r="K23" t="s">
        <v>3246</v>
      </c>
    </row>
    <row r="24" spans="1:11" x14ac:dyDescent="0.25">
      <c r="B24" s="6"/>
      <c r="C24" s="1"/>
      <c r="D24" s="1"/>
      <c r="E24" s="91"/>
      <c r="F24" s="7"/>
      <c r="G24" s="11"/>
      <c r="H24" s="107"/>
      <c r="I24" s="109"/>
      <c r="J24" s="34"/>
    </row>
    <row r="25" spans="1:11" x14ac:dyDescent="0.25">
      <c r="B25" s="6" t="s">
        <v>1967</v>
      </c>
      <c r="C25" s="1" t="s">
        <v>1936</v>
      </c>
      <c r="D25" s="1" t="s">
        <v>1982</v>
      </c>
      <c r="E25" s="91" t="s">
        <v>2320</v>
      </c>
      <c r="F25" s="7" t="s">
        <v>1939</v>
      </c>
      <c r="G25" s="11">
        <v>2198</v>
      </c>
      <c r="H25" s="107">
        <f t="shared" si="1"/>
        <v>2373.84</v>
      </c>
      <c r="I25" s="109">
        <v>2373.84</v>
      </c>
      <c r="J25" s="34">
        <f t="shared" si="0"/>
        <v>1414.80864</v>
      </c>
      <c r="K25" t="s">
        <v>3246</v>
      </c>
    </row>
    <row r="26" spans="1:11" x14ac:dyDescent="0.25">
      <c r="B26" s="6"/>
      <c r="C26" s="1"/>
      <c r="D26" s="1"/>
      <c r="E26" s="91"/>
      <c r="F26" s="7"/>
      <c r="G26" s="11"/>
      <c r="H26" s="107"/>
      <c r="I26" s="109"/>
      <c r="J26" s="34"/>
    </row>
    <row r="27" spans="1:11" x14ac:dyDescent="0.25">
      <c r="A27" t="s">
        <v>3151</v>
      </c>
      <c r="B27" s="6" t="s">
        <v>1968</v>
      </c>
      <c r="C27" s="1" t="s">
        <v>1933</v>
      </c>
      <c r="D27" s="1" t="s">
        <v>1983</v>
      </c>
      <c r="E27" s="91" t="s">
        <v>2321</v>
      </c>
      <c r="F27" s="7" t="s">
        <v>1937</v>
      </c>
      <c r="G27" s="11">
        <v>1925</v>
      </c>
      <c r="H27" s="107">
        <f t="shared" si="1"/>
        <v>2079</v>
      </c>
      <c r="I27" s="109">
        <v>2079</v>
      </c>
      <c r="J27" s="34">
        <f t="shared" si="0"/>
        <v>1239.0840000000001</v>
      </c>
      <c r="K27" t="s">
        <v>3246</v>
      </c>
    </row>
    <row r="28" spans="1:11" x14ac:dyDescent="0.25">
      <c r="B28" s="6"/>
      <c r="C28" s="1"/>
      <c r="D28" s="1"/>
      <c r="E28" s="91"/>
      <c r="F28" s="7"/>
      <c r="G28" s="11"/>
      <c r="H28" s="107"/>
      <c r="I28" s="109"/>
      <c r="J28" s="34"/>
    </row>
    <row r="29" spans="1:11" x14ac:dyDescent="0.25">
      <c r="B29" s="6" t="s">
        <v>1969</v>
      </c>
      <c r="C29" s="1" t="s">
        <v>1934</v>
      </c>
      <c r="D29" s="1" t="s">
        <v>1983</v>
      </c>
      <c r="E29" s="91" t="s">
        <v>2322</v>
      </c>
      <c r="F29" s="7" t="s">
        <v>1938</v>
      </c>
      <c r="G29" s="11">
        <v>2091</v>
      </c>
      <c r="H29" s="107">
        <f t="shared" si="1"/>
        <v>2258.2800000000002</v>
      </c>
      <c r="I29" s="109">
        <v>2258.2800000000002</v>
      </c>
      <c r="J29" s="34">
        <f t="shared" si="0"/>
        <v>1345.93488</v>
      </c>
      <c r="K29" t="s">
        <v>3246</v>
      </c>
    </row>
    <row r="30" spans="1:11" x14ac:dyDescent="0.25">
      <c r="B30" s="6"/>
      <c r="C30" s="1"/>
      <c r="D30" s="1"/>
      <c r="E30" s="91"/>
      <c r="F30" s="7"/>
      <c r="G30" s="11"/>
      <c r="H30" s="107"/>
      <c r="I30" s="109"/>
      <c r="J30" s="34"/>
    </row>
    <row r="31" spans="1:11" x14ac:dyDescent="0.25">
      <c r="B31" s="6" t="s">
        <v>1970</v>
      </c>
      <c r="C31" s="1" t="s">
        <v>1935</v>
      </c>
      <c r="D31" s="1" t="s">
        <v>1983</v>
      </c>
      <c r="E31" s="91" t="s">
        <v>2323</v>
      </c>
      <c r="F31" s="7" t="s">
        <v>1938</v>
      </c>
      <c r="G31" s="11">
        <v>2091</v>
      </c>
      <c r="H31" s="107">
        <f t="shared" si="1"/>
        <v>2258.2800000000002</v>
      </c>
      <c r="I31" s="109">
        <v>2258.2800000000002</v>
      </c>
      <c r="J31" s="34">
        <f t="shared" ref="J31:J49" si="2">I31*0.596</f>
        <v>1345.93488</v>
      </c>
      <c r="K31" t="s">
        <v>3246</v>
      </c>
    </row>
    <row r="32" spans="1:11" x14ac:dyDescent="0.25">
      <c r="B32" s="6"/>
      <c r="C32" s="1"/>
      <c r="D32" s="1"/>
      <c r="E32" s="91"/>
      <c r="F32" s="7"/>
      <c r="G32" s="11"/>
      <c r="H32" s="107"/>
      <c r="I32" s="109"/>
      <c r="J32" s="34"/>
    </row>
    <row r="33" spans="2:11" x14ac:dyDescent="0.25">
      <c r="B33" s="6" t="s">
        <v>1971</v>
      </c>
      <c r="C33" s="1" t="s">
        <v>1936</v>
      </c>
      <c r="D33" s="1" t="s">
        <v>1983</v>
      </c>
      <c r="E33" s="91" t="s">
        <v>2324</v>
      </c>
      <c r="F33" s="7" t="s">
        <v>1939</v>
      </c>
      <c r="G33" s="11">
        <v>2257</v>
      </c>
      <c r="H33" s="107">
        <f t="shared" si="1"/>
        <v>2437.56</v>
      </c>
      <c r="I33" s="109">
        <v>2437.56</v>
      </c>
      <c r="J33" s="34">
        <f t="shared" si="2"/>
        <v>1452.78576</v>
      </c>
      <c r="K33" t="s">
        <v>3246</v>
      </c>
    </row>
    <row r="34" spans="2:11" x14ac:dyDescent="0.25">
      <c r="B34" s="6"/>
      <c r="C34" s="1"/>
      <c r="D34" s="1"/>
      <c r="E34" s="91"/>
      <c r="F34" s="7"/>
      <c r="G34" s="11"/>
      <c r="H34" s="107"/>
      <c r="I34" s="109"/>
      <c r="J34" s="34"/>
    </row>
    <row r="35" spans="2:11" x14ac:dyDescent="0.25">
      <c r="B35" s="6" t="s">
        <v>1972</v>
      </c>
      <c r="C35" s="1" t="s">
        <v>1933</v>
      </c>
      <c r="D35" s="1" t="s">
        <v>1984</v>
      </c>
      <c r="E35" s="91" t="s">
        <v>2325</v>
      </c>
      <c r="F35" s="7" t="s">
        <v>1937</v>
      </c>
      <c r="G35" s="11">
        <v>1983</v>
      </c>
      <c r="H35" s="107">
        <f t="shared" si="1"/>
        <v>2141.6400000000003</v>
      </c>
      <c r="I35" s="109">
        <v>2141.6400000000003</v>
      </c>
      <c r="J35" s="34">
        <f t="shared" si="2"/>
        <v>1276.4174400000002</v>
      </c>
      <c r="K35" t="s">
        <v>3246</v>
      </c>
    </row>
    <row r="36" spans="2:11" x14ac:dyDescent="0.25">
      <c r="B36" s="6"/>
      <c r="C36" s="1"/>
      <c r="D36" s="1"/>
      <c r="E36" s="91"/>
      <c r="F36" s="7"/>
      <c r="G36" s="11"/>
      <c r="H36" s="107"/>
      <c r="I36" s="109"/>
      <c r="J36" s="34"/>
    </row>
    <row r="37" spans="2:11" x14ac:dyDescent="0.25">
      <c r="B37" s="6" t="s">
        <v>1973</v>
      </c>
      <c r="C37" s="1" t="s">
        <v>1934</v>
      </c>
      <c r="D37" s="1" t="s">
        <v>1984</v>
      </c>
      <c r="E37" s="91" t="s">
        <v>2326</v>
      </c>
      <c r="F37" s="7" t="s">
        <v>1938</v>
      </c>
      <c r="G37" s="11">
        <v>2149</v>
      </c>
      <c r="H37" s="107">
        <f t="shared" si="1"/>
        <v>2320.92</v>
      </c>
      <c r="I37" s="109">
        <v>2320.92</v>
      </c>
      <c r="J37" s="34">
        <f t="shared" si="2"/>
        <v>1383.2683199999999</v>
      </c>
      <c r="K37" t="s">
        <v>3246</v>
      </c>
    </row>
    <row r="38" spans="2:11" x14ac:dyDescent="0.25">
      <c r="B38" s="6"/>
      <c r="C38" s="1"/>
      <c r="D38" s="1"/>
      <c r="E38" s="91"/>
      <c r="F38" s="7"/>
      <c r="G38" s="11"/>
      <c r="H38" s="107"/>
      <c r="I38" s="109"/>
      <c r="J38" s="34"/>
    </row>
    <row r="39" spans="2:11" x14ac:dyDescent="0.25">
      <c r="B39" s="6" t="s">
        <v>1974</v>
      </c>
      <c r="C39" s="1" t="s">
        <v>1935</v>
      </c>
      <c r="D39" s="1" t="s">
        <v>1984</v>
      </c>
      <c r="E39" s="91" t="s">
        <v>2327</v>
      </c>
      <c r="F39" s="7" t="s">
        <v>1938</v>
      </c>
      <c r="G39" s="11">
        <v>2149</v>
      </c>
      <c r="H39" s="107">
        <f t="shared" si="1"/>
        <v>2320.92</v>
      </c>
      <c r="I39" s="109">
        <v>2320.92</v>
      </c>
      <c r="J39" s="34">
        <f t="shared" si="2"/>
        <v>1383.2683199999999</v>
      </c>
      <c r="K39" t="s">
        <v>3246</v>
      </c>
    </row>
    <row r="40" spans="2:11" x14ac:dyDescent="0.25">
      <c r="B40" s="6"/>
      <c r="C40" s="1"/>
      <c r="D40" s="1"/>
      <c r="E40" s="91"/>
      <c r="F40" s="7"/>
      <c r="G40" s="11"/>
      <c r="H40" s="107"/>
      <c r="I40" s="109"/>
      <c r="J40" s="34"/>
    </row>
    <row r="41" spans="2:11" x14ac:dyDescent="0.25">
      <c r="B41" s="6" t="s">
        <v>1975</v>
      </c>
      <c r="C41" s="1" t="s">
        <v>1936</v>
      </c>
      <c r="D41" s="1" t="s">
        <v>1984</v>
      </c>
      <c r="E41" s="91" t="s">
        <v>2328</v>
      </c>
      <c r="F41" s="7" t="s">
        <v>1939</v>
      </c>
      <c r="G41" s="11">
        <v>2318</v>
      </c>
      <c r="H41" s="107">
        <f t="shared" si="1"/>
        <v>2503.44</v>
      </c>
      <c r="I41" s="109">
        <v>2503.44</v>
      </c>
      <c r="J41" s="34">
        <f t="shared" si="2"/>
        <v>1492.05024</v>
      </c>
      <c r="K41" t="s">
        <v>3246</v>
      </c>
    </row>
    <row r="42" spans="2:11" x14ac:dyDescent="0.25">
      <c r="B42" s="6"/>
      <c r="C42" s="1"/>
      <c r="D42" s="1"/>
      <c r="E42" s="91"/>
      <c r="F42" s="7"/>
      <c r="G42" s="11"/>
      <c r="H42" s="107"/>
      <c r="I42" s="109"/>
      <c r="J42" s="34"/>
    </row>
    <row r="43" spans="2:11" x14ac:dyDescent="0.25">
      <c r="B43" s="6" t="s">
        <v>1976</v>
      </c>
      <c r="C43" s="1" t="s">
        <v>1933</v>
      </c>
      <c r="D43" s="1" t="s">
        <v>1985</v>
      </c>
      <c r="E43" s="91" t="s">
        <v>2329</v>
      </c>
      <c r="F43" s="7" t="s">
        <v>1937</v>
      </c>
      <c r="G43" s="11">
        <v>2050</v>
      </c>
      <c r="H43" s="107">
        <f t="shared" si="1"/>
        <v>2214</v>
      </c>
      <c r="I43" s="109">
        <v>2214</v>
      </c>
      <c r="J43" s="34">
        <f t="shared" si="2"/>
        <v>1319.5439999999999</v>
      </c>
      <c r="K43" t="s">
        <v>3246</v>
      </c>
    </row>
    <row r="44" spans="2:11" x14ac:dyDescent="0.25">
      <c r="B44" s="6"/>
      <c r="C44" s="1"/>
      <c r="D44" s="1"/>
      <c r="E44" s="91"/>
      <c r="F44" s="7"/>
      <c r="G44" s="11"/>
      <c r="H44" s="107"/>
      <c r="I44" s="109"/>
      <c r="J44" s="34"/>
    </row>
    <row r="45" spans="2:11" x14ac:dyDescent="0.25">
      <c r="B45" s="6" t="s">
        <v>1977</v>
      </c>
      <c r="C45" s="1" t="s">
        <v>1934</v>
      </c>
      <c r="D45" s="1" t="s">
        <v>1985</v>
      </c>
      <c r="E45" s="91" t="s">
        <v>2330</v>
      </c>
      <c r="F45" s="7" t="s">
        <v>1938</v>
      </c>
      <c r="G45" s="11">
        <v>2223</v>
      </c>
      <c r="H45" s="107">
        <f t="shared" si="1"/>
        <v>2400.84</v>
      </c>
      <c r="I45" s="109">
        <v>2400.84</v>
      </c>
      <c r="J45" s="34">
        <f t="shared" si="2"/>
        <v>1430.9006400000001</v>
      </c>
      <c r="K45" t="s">
        <v>3246</v>
      </c>
    </row>
    <row r="46" spans="2:11" x14ac:dyDescent="0.25">
      <c r="B46" s="6"/>
      <c r="C46" s="1"/>
      <c r="D46" s="1"/>
      <c r="E46" s="91"/>
      <c r="F46" s="7"/>
      <c r="G46" s="11"/>
      <c r="H46" s="107"/>
      <c r="I46" s="109"/>
      <c r="J46" s="34"/>
    </row>
    <row r="47" spans="2:11" x14ac:dyDescent="0.25">
      <c r="B47" s="6" t="s">
        <v>1978</v>
      </c>
      <c r="C47" s="1" t="s">
        <v>1935</v>
      </c>
      <c r="D47" s="1" t="s">
        <v>1985</v>
      </c>
      <c r="E47" s="91" t="s">
        <v>2331</v>
      </c>
      <c r="F47" s="7" t="s">
        <v>1938</v>
      </c>
      <c r="G47" s="11">
        <v>2223</v>
      </c>
      <c r="H47" s="107">
        <f t="shared" si="1"/>
        <v>2400.84</v>
      </c>
      <c r="I47" s="109">
        <v>2400.84</v>
      </c>
      <c r="J47" s="34">
        <f t="shared" si="2"/>
        <v>1430.9006400000001</v>
      </c>
      <c r="K47" t="s">
        <v>3246</v>
      </c>
    </row>
    <row r="48" spans="2:11" x14ac:dyDescent="0.25">
      <c r="B48" s="6"/>
      <c r="C48" s="1"/>
      <c r="D48" s="1"/>
      <c r="E48" s="91"/>
      <c r="F48" s="7"/>
      <c r="G48" s="11"/>
      <c r="H48" s="107"/>
      <c r="I48" s="109"/>
      <c r="J48" s="34"/>
    </row>
    <row r="49" spans="2:11" x14ac:dyDescent="0.25">
      <c r="B49" s="6" t="s">
        <v>1979</v>
      </c>
      <c r="C49" s="1" t="s">
        <v>1936</v>
      </c>
      <c r="D49" s="1" t="s">
        <v>1985</v>
      </c>
      <c r="E49" s="91" t="s">
        <v>2332</v>
      </c>
      <c r="F49" s="7" t="s">
        <v>1939</v>
      </c>
      <c r="G49" s="11">
        <v>2391</v>
      </c>
      <c r="H49" s="107">
        <f t="shared" si="1"/>
        <v>2582.2800000000002</v>
      </c>
      <c r="I49" s="109">
        <v>2582.2800000000002</v>
      </c>
      <c r="J49" s="34">
        <f t="shared" si="2"/>
        <v>1539.0388800000001</v>
      </c>
      <c r="K49" t="s">
        <v>3246</v>
      </c>
    </row>
    <row r="50" spans="2:11" x14ac:dyDescent="0.25">
      <c r="B50" s="7"/>
      <c r="C50" s="7"/>
      <c r="D50" s="7"/>
      <c r="E50" s="92"/>
      <c r="F50" s="7"/>
      <c r="G50" s="11"/>
      <c r="H50" s="107"/>
      <c r="I50" s="109"/>
      <c r="J50" s="7"/>
    </row>
    <row r="51" spans="2:11" x14ac:dyDescent="0.25">
      <c r="B51" s="6" t="s">
        <v>1943</v>
      </c>
      <c r="C51" s="1" t="s">
        <v>2087</v>
      </c>
      <c r="D51" s="1" t="s">
        <v>1940</v>
      </c>
      <c r="E51" s="91" t="s">
        <v>2333</v>
      </c>
      <c r="F51" s="7" t="s">
        <v>2088</v>
      </c>
      <c r="G51" s="11">
        <v>1796</v>
      </c>
      <c r="H51" s="107">
        <f t="shared" si="1"/>
        <v>1939.68</v>
      </c>
      <c r="I51" s="109">
        <v>1939.68</v>
      </c>
      <c r="J51" s="34">
        <f t="shared" ref="J51:J97" si="3">I51*0.596</f>
        <v>1156.04928</v>
      </c>
      <c r="K51" t="s">
        <v>3246</v>
      </c>
    </row>
    <row r="52" spans="2:11" x14ac:dyDescent="0.25">
      <c r="B52" s="6"/>
      <c r="C52" s="1"/>
      <c r="D52" s="1"/>
      <c r="E52" s="91"/>
      <c r="F52" s="7"/>
      <c r="G52" s="11"/>
      <c r="H52" s="107"/>
      <c r="I52" s="109"/>
      <c r="J52" s="34"/>
    </row>
    <row r="53" spans="2:11" x14ac:dyDescent="0.25">
      <c r="B53" s="6" t="s">
        <v>1944</v>
      </c>
      <c r="C53" s="1" t="s">
        <v>2089</v>
      </c>
      <c r="D53" s="1" t="s">
        <v>1940</v>
      </c>
      <c r="E53" s="91" t="s">
        <v>2334</v>
      </c>
      <c r="F53" s="7" t="s">
        <v>2090</v>
      </c>
      <c r="G53" s="11">
        <v>1960</v>
      </c>
      <c r="H53" s="107">
        <f t="shared" si="1"/>
        <v>2116.8000000000002</v>
      </c>
      <c r="I53" s="109">
        <v>2116.8000000000002</v>
      </c>
      <c r="J53" s="34">
        <f t="shared" si="3"/>
        <v>1261.6128000000001</v>
      </c>
      <c r="K53" t="s">
        <v>3246</v>
      </c>
    </row>
    <row r="54" spans="2:11" x14ac:dyDescent="0.25">
      <c r="B54" s="6"/>
      <c r="C54" s="1"/>
      <c r="D54" s="1"/>
      <c r="E54" s="91"/>
      <c r="F54" s="7"/>
      <c r="G54" s="11"/>
      <c r="H54" s="107"/>
      <c r="I54" s="109"/>
      <c r="J54" s="34"/>
    </row>
    <row r="55" spans="2:11" x14ac:dyDescent="0.25">
      <c r="B55" s="6" t="s">
        <v>1945</v>
      </c>
      <c r="C55" s="1" t="s">
        <v>2091</v>
      </c>
      <c r="D55" s="1" t="s">
        <v>1940</v>
      </c>
      <c r="E55" s="91" t="s">
        <v>2335</v>
      </c>
      <c r="F55" s="7" t="s">
        <v>2090</v>
      </c>
      <c r="G55" s="11">
        <v>1960</v>
      </c>
      <c r="H55" s="107">
        <f t="shared" si="1"/>
        <v>2116.8000000000002</v>
      </c>
      <c r="I55" s="109">
        <v>2116.8000000000002</v>
      </c>
      <c r="J55" s="34">
        <f t="shared" si="3"/>
        <v>1261.6128000000001</v>
      </c>
      <c r="K55" t="s">
        <v>3246</v>
      </c>
    </row>
    <row r="56" spans="2:11" x14ac:dyDescent="0.25">
      <c r="B56" s="6"/>
      <c r="C56" s="1"/>
      <c r="D56" s="1"/>
      <c r="E56" s="91"/>
      <c r="F56" s="7"/>
      <c r="G56" s="11"/>
      <c r="H56" s="107"/>
      <c r="I56" s="109"/>
      <c r="J56" s="34"/>
    </row>
    <row r="57" spans="2:11" x14ac:dyDescent="0.25">
      <c r="B57" s="6" t="s">
        <v>1946</v>
      </c>
      <c r="C57" s="1" t="s">
        <v>2092</v>
      </c>
      <c r="D57" s="1" t="s">
        <v>1940</v>
      </c>
      <c r="E57" s="91" t="s">
        <v>2336</v>
      </c>
      <c r="F57" s="7" t="s">
        <v>2093</v>
      </c>
      <c r="G57" s="11">
        <v>2124</v>
      </c>
      <c r="H57" s="107">
        <f t="shared" si="1"/>
        <v>2293.92</v>
      </c>
      <c r="I57" s="109">
        <v>2293.92</v>
      </c>
      <c r="J57" s="34">
        <f t="shared" si="3"/>
        <v>1367.17632</v>
      </c>
      <c r="K57" t="s">
        <v>3246</v>
      </c>
    </row>
    <row r="58" spans="2:11" x14ac:dyDescent="0.25">
      <c r="B58" s="6"/>
      <c r="C58" s="1"/>
      <c r="D58" s="1"/>
      <c r="E58" s="91"/>
      <c r="F58" s="7"/>
      <c r="G58" s="11"/>
      <c r="H58" s="107"/>
      <c r="I58" s="109"/>
      <c r="J58" s="34"/>
    </row>
    <row r="59" spans="2:11" x14ac:dyDescent="0.25">
      <c r="B59" s="6" t="s">
        <v>1947</v>
      </c>
      <c r="C59" s="1" t="s">
        <v>2087</v>
      </c>
      <c r="D59" s="1" t="s">
        <v>1941</v>
      </c>
      <c r="E59" s="91" t="s">
        <v>2337</v>
      </c>
      <c r="F59" s="7" t="s">
        <v>2088</v>
      </c>
      <c r="G59" s="11">
        <v>1849</v>
      </c>
      <c r="H59" s="107">
        <f t="shared" si="1"/>
        <v>1996.92</v>
      </c>
      <c r="I59" s="109">
        <v>1996.92</v>
      </c>
      <c r="J59" s="34">
        <f t="shared" si="3"/>
        <v>1190.1643200000001</v>
      </c>
      <c r="K59" t="s">
        <v>3246</v>
      </c>
    </row>
    <row r="60" spans="2:11" x14ac:dyDescent="0.25">
      <c r="B60" s="6"/>
      <c r="C60" s="1"/>
      <c r="D60" s="1"/>
      <c r="E60" s="91"/>
      <c r="F60" s="7"/>
      <c r="G60" s="11"/>
      <c r="H60" s="107"/>
      <c r="I60" s="109"/>
      <c r="J60" s="34"/>
    </row>
    <row r="61" spans="2:11" x14ac:dyDescent="0.25">
      <c r="B61" s="6" t="s">
        <v>1948</v>
      </c>
      <c r="C61" s="1" t="s">
        <v>2089</v>
      </c>
      <c r="D61" s="1" t="s">
        <v>1941</v>
      </c>
      <c r="E61" s="91" t="s">
        <v>2338</v>
      </c>
      <c r="F61" s="7" t="s">
        <v>2090</v>
      </c>
      <c r="G61" s="11">
        <v>2014</v>
      </c>
      <c r="H61" s="107">
        <f t="shared" si="1"/>
        <v>2175.1200000000003</v>
      </c>
      <c r="I61" s="109">
        <v>2175.1200000000003</v>
      </c>
      <c r="J61" s="34">
        <f t="shared" si="3"/>
        <v>1296.3715200000001</v>
      </c>
      <c r="K61" t="s">
        <v>3246</v>
      </c>
    </row>
    <row r="62" spans="2:11" x14ac:dyDescent="0.25">
      <c r="B62" s="6"/>
      <c r="C62" s="1"/>
      <c r="D62" s="1"/>
      <c r="E62" s="91"/>
      <c r="F62" s="7"/>
      <c r="G62" s="11"/>
      <c r="H62" s="107"/>
      <c r="I62" s="109"/>
      <c r="J62" s="34"/>
    </row>
    <row r="63" spans="2:11" x14ac:dyDescent="0.25">
      <c r="B63" s="6" t="s">
        <v>1949</v>
      </c>
      <c r="C63" s="1" t="s">
        <v>2091</v>
      </c>
      <c r="D63" s="1" t="s">
        <v>1941</v>
      </c>
      <c r="E63" s="91" t="s">
        <v>2339</v>
      </c>
      <c r="F63" s="7" t="s">
        <v>2090</v>
      </c>
      <c r="G63" s="11">
        <v>2014</v>
      </c>
      <c r="H63" s="107">
        <f t="shared" si="1"/>
        <v>2175.1200000000003</v>
      </c>
      <c r="I63" s="109">
        <v>2175.1200000000003</v>
      </c>
      <c r="J63" s="34">
        <f t="shared" si="3"/>
        <v>1296.3715200000001</v>
      </c>
      <c r="K63" t="s">
        <v>3246</v>
      </c>
    </row>
    <row r="64" spans="2:11" x14ac:dyDescent="0.25">
      <c r="B64" s="6"/>
      <c r="C64" s="1"/>
      <c r="D64" s="1"/>
      <c r="E64" s="91"/>
      <c r="F64" s="7"/>
      <c r="G64" s="11"/>
      <c r="H64" s="107"/>
      <c r="I64" s="109"/>
      <c r="J64" s="34"/>
    </row>
    <row r="65" spans="1:11" x14ac:dyDescent="0.25">
      <c r="B65" s="6" t="s">
        <v>1950</v>
      </c>
      <c r="C65" s="1" t="s">
        <v>2092</v>
      </c>
      <c r="D65" s="1" t="s">
        <v>1941</v>
      </c>
      <c r="E65" s="91" t="s">
        <v>2340</v>
      </c>
      <c r="F65" s="7" t="s">
        <v>2093</v>
      </c>
      <c r="G65" s="11">
        <v>2180</v>
      </c>
      <c r="H65" s="107">
        <f t="shared" si="1"/>
        <v>2354.4</v>
      </c>
      <c r="I65" s="109">
        <v>2354.4</v>
      </c>
      <c r="J65" s="34">
        <f t="shared" si="3"/>
        <v>1403.2224000000001</v>
      </c>
      <c r="K65" t="s">
        <v>3246</v>
      </c>
    </row>
    <row r="66" spans="1:11" x14ac:dyDescent="0.25">
      <c r="B66" s="6"/>
      <c r="C66" s="1"/>
      <c r="D66" s="1"/>
      <c r="E66" s="91"/>
      <c r="F66" s="7"/>
      <c r="G66" s="11"/>
      <c r="H66" s="107"/>
      <c r="I66" s="109"/>
      <c r="J66" s="34"/>
    </row>
    <row r="67" spans="1:11" x14ac:dyDescent="0.25">
      <c r="A67" t="s">
        <v>3150</v>
      </c>
      <c r="B67" s="6" t="s">
        <v>1951</v>
      </c>
      <c r="C67" s="1" t="s">
        <v>2087</v>
      </c>
      <c r="D67" s="1" t="s">
        <v>1942</v>
      </c>
      <c r="E67" s="91" t="s">
        <v>2341</v>
      </c>
      <c r="F67" s="7" t="s">
        <v>2088</v>
      </c>
      <c r="G67" s="11">
        <v>1917</v>
      </c>
      <c r="H67" s="107">
        <f t="shared" si="1"/>
        <v>2070.36</v>
      </c>
      <c r="I67" s="109">
        <v>2070.36</v>
      </c>
      <c r="J67" s="34">
        <f t="shared" si="3"/>
        <v>1233.9345599999999</v>
      </c>
      <c r="K67" t="s">
        <v>3246</v>
      </c>
    </row>
    <row r="68" spans="1:11" x14ac:dyDescent="0.25">
      <c r="B68" s="6"/>
      <c r="C68" s="1"/>
      <c r="D68" s="1"/>
      <c r="E68" s="91"/>
      <c r="F68" s="7"/>
      <c r="G68" s="11"/>
      <c r="H68" s="107"/>
      <c r="I68" s="109"/>
      <c r="J68" s="34"/>
    </row>
    <row r="69" spans="1:11" x14ac:dyDescent="0.25">
      <c r="B69" s="6" t="s">
        <v>1952</v>
      </c>
      <c r="C69" s="1" t="s">
        <v>2089</v>
      </c>
      <c r="D69" s="1" t="s">
        <v>1942</v>
      </c>
      <c r="E69" s="91" t="s">
        <v>2342</v>
      </c>
      <c r="F69" s="7" t="s">
        <v>2090</v>
      </c>
      <c r="G69" s="11">
        <v>2071</v>
      </c>
      <c r="H69" s="107">
        <f t="shared" ref="H69:H131" si="4">G69*1.08</f>
        <v>2236.6800000000003</v>
      </c>
      <c r="I69" s="109">
        <v>2236.6800000000003</v>
      </c>
      <c r="J69" s="34">
        <f t="shared" si="3"/>
        <v>1333.0612800000001</v>
      </c>
      <c r="K69" t="s">
        <v>3246</v>
      </c>
    </row>
    <row r="70" spans="1:11" x14ac:dyDescent="0.25">
      <c r="B70" s="6"/>
      <c r="C70" s="1"/>
      <c r="D70" s="1"/>
      <c r="E70" s="91"/>
      <c r="F70" s="7"/>
      <c r="G70" s="11"/>
      <c r="H70" s="107"/>
      <c r="I70" s="109"/>
      <c r="J70" s="34"/>
    </row>
    <row r="71" spans="1:11" x14ac:dyDescent="0.25">
      <c r="B71" s="6" t="s">
        <v>1953</v>
      </c>
      <c r="C71" s="1" t="s">
        <v>2091</v>
      </c>
      <c r="D71" s="1" t="s">
        <v>1942</v>
      </c>
      <c r="E71" s="91" t="s">
        <v>2343</v>
      </c>
      <c r="F71" s="7" t="s">
        <v>2090</v>
      </c>
      <c r="G71" s="11">
        <v>2071</v>
      </c>
      <c r="H71" s="107">
        <f t="shared" si="4"/>
        <v>2236.6800000000003</v>
      </c>
      <c r="I71" s="109">
        <v>2236.6800000000003</v>
      </c>
      <c r="J71" s="34">
        <f t="shared" si="3"/>
        <v>1333.0612800000001</v>
      </c>
      <c r="K71" t="s">
        <v>3246</v>
      </c>
    </row>
    <row r="72" spans="1:11" x14ac:dyDescent="0.25">
      <c r="B72" s="6"/>
      <c r="C72" s="1"/>
      <c r="D72" s="1"/>
      <c r="E72" s="91"/>
      <c r="F72" s="7"/>
      <c r="G72" s="11"/>
      <c r="H72" s="107"/>
      <c r="I72" s="109"/>
      <c r="J72" s="34"/>
    </row>
    <row r="73" spans="1:11" x14ac:dyDescent="0.25">
      <c r="B73" s="6" t="s">
        <v>1954</v>
      </c>
      <c r="C73" s="1" t="s">
        <v>2092</v>
      </c>
      <c r="D73" s="1" t="s">
        <v>1942</v>
      </c>
      <c r="E73" s="91" t="s">
        <v>2344</v>
      </c>
      <c r="F73" s="7" t="s">
        <v>2093</v>
      </c>
      <c r="G73" s="11">
        <v>2237</v>
      </c>
      <c r="H73" s="107">
        <f t="shared" si="4"/>
        <v>2415.96</v>
      </c>
      <c r="I73" s="109">
        <v>2415.96</v>
      </c>
      <c r="J73" s="34">
        <f t="shared" si="3"/>
        <v>1439.9121599999999</v>
      </c>
      <c r="K73" t="s">
        <v>3246</v>
      </c>
    </row>
    <row r="74" spans="1:11" x14ac:dyDescent="0.25">
      <c r="B74" s="6"/>
      <c r="C74" s="1"/>
      <c r="D74" s="1"/>
      <c r="E74" s="91"/>
      <c r="F74" s="7"/>
      <c r="G74" s="11"/>
      <c r="H74" s="107"/>
      <c r="I74" s="109"/>
      <c r="J74" s="34"/>
    </row>
    <row r="75" spans="1:11" x14ac:dyDescent="0.25">
      <c r="B75" s="35" t="s">
        <v>1955</v>
      </c>
      <c r="C75" s="1" t="s">
        <v>2087</v>
      </c>
      <c r="D75" s="1" t="s">
        <v>2094</v>
      </c>
      <c r="E75" s="91" t="s">
        <v>2345</v>
      </c>
      <c r="F75" s="7" t="s">
        <v>2088</v>
      </c>
      <c r="G75" s="11">
        <v>1963</v>
      </c>
      <c r="H75" s="107">
        <f t="shared" si="4"/>
        <v>2120.04</v>
      </c>
      <c r="I75" s="109">
        <v>2120.04</v>
      </c>
      <c r="J75" s="34">
        <f t="shared" si="3"/>
        <v>1263.5438399999998</v>
      </c>
      <c r="K75" t="s">
        <v>3246</v>
      </c>
    </row>
    <row r="76" spans="1:11" x14ac:dyDescent="0.25">
      <c r="B76" s="35"/>
      <c r="C76" s="1"/>
      <c r="D76" s="1"/>
      <c r="E76" s="91"/>
      <c r="F76" s="7"/>
      <c r="G76" s="11"/>
      <c r="H76" s="107"/>
      <c r="I76" s="109"/>
      <c r="J76" s="34"/>
    </row>
    <row r="77" spans="1:11" x14ac:dyDescent="0.25">
      <c r="B77" s="35" t="s">
        <v>2095</v>
      </c>
      <c r="C77" s="1" t="s">
        <v>2089</v>
      </c>
      <c r="D77" s="1" t="s">
        <v>2094</v>
      </c>
      <c r="E77" s="91" t="s">
        <v>2346</v>
      </c>
      <c r="F77" s="7" t="s">
        <v>2090</v>
      </c>
      <c r="G77" s="11">
        <v>2129</v>
      </c>
      <c r="H77" s="107">
        <f t="shared" si="4"/>
        <v>2299.3200000000002</v>
      </c>
      <c r="I77" s="109">
        <v>2299.3200000000002</v>
      </c>
      <c r="J77" s="34">
        <f t="shared" si="3"/>
        <v>1370.39472</v>
      </c>
      <c r="K77" t="s">
        <v>3246</v>
      </c>
    </row>
    <row r="78" spans="1:11" x14ac:dyDescent="0.25">
      <c r="B78" s="35"/>
      <c r="C78" s="1"/>
      <c r="D78" s="1"/>
      <c r="E78" s="91"/>
      <c r="F78" s="7"/>
      <c r="G78" s="11"/>
      <c r="H78" s="107"/>
      <c r="I78" s="109"/>
      <c r="J78" s="34"/>
    </row>
    <row r="79" spans="1:11" x14ac:dyDescent="0.25">
      <c r="B79" s="35" t="s">
        <v>2096</v>
      </c>
      <c r="C79" s="1" t="s">
        <v>2091</v>
      </c>
      <c r="D79" s="1" t="s">
        <v>2094</v>
      </c>
      <c r="E79" s="91" t="s">
        <v>2347</v>
      </c>
      <c r="F79" s="7" t="s">
        <v>2090</v>
      </c>
      <c r="G79" s="11">
        <v>2129</v>
      </c>
      <c r="H79" s="107">
        <f t="shared" si="4"/>
        <v>2299.3200000000002</v>
      </c>
      <c r="I79" s="109">
        <v>2299.3200000000002</v>
      </c>
      <c r="J79" s="34">
        <f t="shared" si="3"/>
        <v>1370.39472</v>
      </c>
      <c r="K79" t="s">
        <v>3246</v>
      </c>
    </row>
    <row r="80" spans="1:11" x14ac:dyDescent="0.25">
      <c r="B80" s="35"/>
      <c r="C80" s="1"/>
      <c r="D80" s="1"/>
      <c r="E80" s="91"/>
      <c r="F80" s="7"/>
      <c r="G80" s="11"/>
      <c r="H80" s="107"/>
      <c r="I80" s="109"/>
      <c r="J80" s="34"/>
    </row>
    <row r="81" spans="2:11" x14ac:dyDescent="0.25">
      <c r="B81" s="35" t="s">
        <v>2097</v>
      </c>
      <c r="C81" s="1" t="s">
        <v>2092</v>
      </c>
      <c r="D81" s="1" t="s">
        <v>2094</v>
      </c>
      <c r="E81" s="91" t="s">
        <v>2348</v>
      </c>
      <c r="F81" s="7" t="s">
        <v>2093</v>
      </c>
      <c r="G81" s="11">
        <v>2298</v>
      </c>
      <c r="H81" s="107">
        <f t="shared" si="4"/>
        <v>2481.84</v>
      </c>
      <c r="I81" s="109">
        <v>2481.84</v>
      </c>
      <c r="J81" s="34">
        <f t="shared" si="3"/>
        <v>1479.1766400000001</v>
      </c>
      <c r="K81" t="s">
        <v>3246</v>
      </c>
    </row>
    <row r="82" spans="2:11" x14ac:dyDescent="0.25">
      <c r="B82" s="35"/>
      <c r="C82" s="1"/>
      <c r="D82" s="1"/>
      <c r="E82" s="91"/>
      <c r="F82" s="7"/>
      <c r="G82" s="11"/>
      <c r="H82" s="107"/>
      <c r="I82" s="109"/>
      <c r="J82" s="34"/>
    </row>
    <row r="83" spans="2:11" x14ac:dyDescent="0.25">
      <c r="B83" s="35" t="s">
        <v>2098</v>
      </c>
      <c r="C83" s="1" t="s">
        <v>2087</v>
      </c>
      <c r="D83" s="1" t="s">
        <v>2099</v>
      </c>
      <c r="E83" s="91" t="s">
        <v>2349</v>
      </c>
      <c r="F83" s="7" t="s">
        <v>2088</v>
      </c>
      <c r="G83" s="11">
        <v>2043</v>
      </c>
      <c r="H83" s="107">
        <f t="shared" si="4"/>
        <v>2206.44</v>
      </c>
      <c r="I83" s="109">
        <v>2206.44</v>
      </c>
      <c r="J83" s="34">
        <f t="shared" si="3"/>
        <v>1315.0382400000001</v>
      </c>
      <c r="K83" t="s">
        <v>3246</v>
      </c>
    </row>
    <row r="84" spans="2:11" x14ac:dyDescent="0.25">
      <c r="B84" s="35"/>
      <c r="C84" s="1"/>
      <c r="D84" s="1"/>
      <c r="E84" s="91"/>
      <c r="F84" s="7"/>
      <c r="G84" s="11"/>
      <c r="H84" s="107"/>
      <c r="I84" s="109"/>
      <c r="J84" s="34"/>
    </row>
    <row r="85" spans="2:11" x14ac:dyDescent="0.25">
      <c r="B85" s="35" t="s">
        <v>2100</v>
      </c>
      <c r="C85" s="1" t="s">
        <v>2089</v>
      </c>
      <c r="D85" s="1" t="s">
        <v>2099</v>
      </c>
      <c r="E85" s="91" t="s">
        <v>2350</v>
      </c>
      <c r="F85" s="7" t="s">
        <v>2090</v>
      </c>
      <c r="G85" s="11">
        <v>2232</v>
      </c>
      <c r="H85" s="107">
        <f t="shared" si="4"/>
        <v>2410.56</v>
      </c>
      <c r="I85" s="109">
        <v>2410.56</v>
      </c>
      <c r="J85" s="34">
        <f t="shared" si="3"/>
        <v>1436.6937599999999</v>
      </c>
      <c r="K85" t="s">
        <v>3246</v>
      </c>
    </row>
    <row r="86" spans="2:11" x14ac:dyDescent="0.25">
      <c r="B86" s="35"/>
      <c r="C86" s="1"/>
      <c r="D86" s="1"/>
      <c r="E86" s="91"/>
      <c r="F86" s="7"/>
      <c r="G86" s="11"/>
      <c r="H86" s="107"/>
      <c r="I86" s="109"/>
      <c r="J86" s="34"/>
    </row>
    <row r="87" spans="2:11" x14ac:dyDescent="0.25">
      <c r="B87" s="35" t="s">
        <v>2101</v>
      </c>
      <c r="C87" s="1" t="s">
        <v>2091</v>
      </c>
      <c r="D87" s="1" t="s">
        <v>2099</v>
      </c>
      <c r="E87" s="91" t="s">
        <v>2351</v>
      </c>
      <c r="F87" s="7" t="s">
        <v>2090</v>
      </c>
      <c r="G87" s="11">
        <v>2232</v>
      </c>
      <c r="H87" s="107">
        <f t="shared" si="4"/>
        <v>2410.56</v>
      </c>
      <c r="I87" s="109">
        <v>2410.56</v>
      </c>
      <c r="J87" s="34">
        <f t="shared" si="3"/>
        <v>1436.6937599999999</v>
      </c>
      <c r="K87" t="s">
        <v>3246</v>
      </c>
    </row>
    <row r="88" spans="2:11" x14ac:dyDescent="0.25">
      <c r="B88" s="35"/>
      <c r="C88" s="1"/>
      <c r="D88" s="1"/>
      <c r="E88" s="91"/>
      <c r="F88" s="7"/>
      <c r="G88" s="11"/>
      <c r="H88" s="107"/>
      <c r="I88" s="109"/>
      <c r="J88" s="34"/>
    </row>
    <row r="89" spans="2:11" x14ac:dyDescent="0.25">
      <c r="B89" s="35" t="s">
        <v>2102</v>
      </c>
      <c r="C89" s="1" t="s">
        <v>2092</v>
      </c>
      <c r="D89" s="1" t="s">
        <v>2099</v>
      </c>
      <c r="E89" s="91" t="s">
        <v>2352</v>
      </c>
      <c r="F89" s="7" t="s">
        <v>2093</v>
      </c>
      <c r="G89" s="11">
        <v>2380</v>
      </c>
      <c r="H89" s="107">
        <f t="shared" si="4"/>
        <v>2570.4</v>
      </c>
      <c r="I89" s="109">
        <v>2570.4</v>
      </c>
      <c r="J89" s="34">
        <f t="shared" si="3"/>
        <v>1531.9584</v>
      </c>
      <c r="K89" t="s">
        <v>3246</v>
      </c>
    </row>
    <row r="90" spans="2:11" x14ac:dyDescent="0.25">
      <c r="B90" s="35"/>
      <c r="C90" s="1"/>
      <c r="D90" s="1"/>
      <c r="E90" s="91"/>
      <c r="F90" s="7"/>
      <c r="G90" s="11"/>
      <c r="H90" s="107"/>
      <c r="I90" s="109"/>
      <c r="J90" s="34"/>
    </row>
    <row r="91" spans="2:11" x14ac:dyDescent="0.25">
      <c r="B91" s="35" t="s">
        <v>2103</v>
      </c>
      <c r="C91" s="1" t="s">
        <v>2087</v>
      </c>
      <c r="D91" s="1" t="s">
        <v>2104</v>
      </c>
      <c r="E91" s="91" t="s">
        <v>2353</v>
      </c>
      <c r="F91" s="7" t="s">
        <v>2088</v>
      </c>
      <c r="G91" s="11">
        <v>2092</v>
      </c>
      <c r="H91" s="107">
        <f t="shared" si="4"/>
        <v>2259.36</v>
      </c>
      <c r="I91" s="109">
        <v>2259.36</v>
      </c>
      <c r="J91" s="34">
        <f t="shared" si="3"/>
        <v>1346.5785599999999</v>
      </c>
      <c r="K91" t="s">
        <v>3246</v>
      </c>
    </row>
    <row r="92" spans="2:11" x14ac:dyDescent="0.25">
      <c r="B92" s="35"/>
      <c r="C92" s="1"/>
      <c r="D92" s="1"/>
      <c r="E92" s="91"/>
      <c r="F92" s="7"/>
      <c r="G92" s="11"/>
      <c r="H92" s="107"/>
      <c r="I92" s="109"/>
      <c r="J92" s="34"/>
    </row>
    <row r="93" spans="2:11" x14ac:dyDescent="0.25">
      <c r="B93" s="35" t="s">
        <v>2105</v>
      </c>
      <c r="C93" s="1" t="s">
        <v>2089</v>
      </c>
      <c r="D93" s="1" t="s">
        <v>2104</v>
      </c>
      <c r="E93" s="91" t="s">
        <v>2354</v>
      </c>
      <c r="F93" s="7" t="s">
        <v>2090</v>
      </c>
      <c r="G93" s="11">
        <v>2262</v>
      </c>
      <c r="H93" s="107">
        <f t="shared" si="4"/>
        <v>2442.96</v>
      </c>
      <c r="I93" s="109">
        <v>2442.96</v>
      </c>
      <c r="J93" s="34">
        <f t="shared" si="3"/>
        <v>1456.00416</v>
      </c>
      <c r="K93" t="s">
        <v>3246</v>
      </c>
    </row>
    <row r="94" spans="2:11" x14ac:dyDescent="0.25">
      <c r="B94" s="35"/>
      <c r="C94" s="1"/>
      <c r="D94" s="1"/>
      <c r="E94" s="91"/>
      <c r="F94" s="7"/>
      <c r="G94" s="11"/>
      <c r="H94" s="107"/>
      <c r="I94" s="109"/>
      <c r="J94" s="34"/>
    </row>
    <row r="95" spans="2:11" x14ac:dyDescent="0.25">
      <c r="B95" s="35" t="s">
        <v>2106</v>
      </c>
      <c r="C95" s="1" t="s">
        <v>2091</v>
      </c>
      <c r="D95" s="1" t="s">
        <v>2104</v>
      </c>
      <c r="E95" s="91" t="s">
        <v>2355</v>
      </c>
      <c r="F95" s="7" t="s">
        <v>2090</v>
      </c>
      <c r="G95" s="11">
        <v>2262</v>
      </c>
      <c r="H95" s="107">
        <f t="shared" si="4"/>
        <v>2442.96</v>
      </c>
      <c r="I95" s="109">
        <v>2442.96</v>
      </c>
      <c r="J95" s="34">
        <f t="shared" si="3"/>
        <v>1456.00416</v>
      </c>
      <c r="K95" t="s">
        <v>3246</v>
      </c>
    </row>
    <row r="96" spans="2:11" x14ac:dyDescent="0.25">
      <c r="B96" s="35"/>
      <c r="C96" s="1"/>
      <c r="D96" s="1"/>
      <c r="E96" s="91"/>
      <c r="F96" s="7"/>
      <c r="G96" s="11"/>
      <c r="H96" s="107"/>
      <c r="I96" s="109"/>
      <c r="J96" s="34"/>
    </row>
    <row r="97" spans="2:11" x14ac:dyDescent="0.25">
      <c r="B97" s="35" t="s">
        <v>2107</v>
      </c>
      <c r="C97" s="1" t="s">
        <v>2092</v>
      </c>
      <c r="D97" s="1" t="s">
        <v>2104</v>
      </c>
      <c r="E97" s="91" t="s">
        <v>2356</v>
      </c>
      <c r="F97" s="7" t="s">
        <v>2093</v>
      </c>
      <c r="G97" s="11">
        <v>2434</v>
      </c>
      <c r="H97" s="107">
        <f t="shared" si="4"/>
        <v>2628.7200000000003</v>
      </c>
      <c r="I97" s="109">
        <v>2628.7200000000003</v>
      </c>
      <c r="J97" s="34">
        <f t="shared" si="3"/>
        <v>1566.71712</v>
      </c>
      <c r="K97" t="s">
        <v>3246</v>
      </c>
    </row>
    <row r="98" spans="2:11" x14ac:dyDescent="0.25">
      <c r="B98" s="35"/>
      <c r="C98" s="1"/>
      <c r="D98" s="1"/>
      <c r="E98" s="2"/>
      <c r="F98" s="7"/>
      <c r="G98" s="11"/>
      <c r="H98" s="107"/>
      <c r="I98" s="109"/>
      <c r="J98" s="7"/>
    </row>
    <row r="99" spans="2:11" x14ac:dyDescent="0.25">
      <c r="B99" s="35" t="s">
        <v>2108</v>
      </c>
      <c r="C99" s="1" t="s">
        <v>2087</v>
      </c>
      <c r="D99" s="1" t="s">
        <v>6</v>
      </c>
      <c r="E99" s="91" t="s">
        <v>2357</v>
      </c>
      <c r="F99" s="7" t="s">
        <v>2088</v>
      </c>
      <c r="G99" s="11">
        <v>1910</v>
      </c>
      <c r="H99" s="107">
        <f t="shared" si="4"/>
        <v>2062.8000000000002</v>
      </c>
      <c r="I99" s="109">
        <v>2062.8000000000002</v>
      </c>
      <c r="J99" s="34">
        <f t="shared" ref="J99:J145" si="5">I99*0.596</f>
        <v>1229.4288000000001</v>
      </c>
      <c r="K99" t="s">
        <v>3246</v>
      </c>
    </row>
    <row r="100" spans="2:11" x14ac:dyDescent="0.25">
      <c r="B100" s="35"/>
      <c r="C100" s="1"/>
      <c r="D100" s="1"/>
      <c r="E100" s="91"/>
      <c r="F100" s="7"/>
      <c r="G100" s="11"/>
      <c r="H100" s="107"/>
      <c r="I100" s="109"/>
      <c r="J100" s="34"/>
    </row>
    <row r="101" spans="2:11" x14ac:dyDescent="0.25">
      <c r="B101" s="35" t="s">
        <v>2109</v>
      </c>
      <c r="C101" s="1" t="s">
        <v>2089</v>
      </c>
      <c r="D101" s="1" t="s">
        <v>6</v>
      </c>
      <c r="E101" s="91" t="s">
        <v>2358</v>
      </c>
      <c r="F101" s="7" t="s">
        <v>2090</v>
      </c>
      <c r="G101" s="11">
        <v>2075</v>
      </c>
      <c r="H101" s="107">
        <f t="shared" si="4"/>
        <v>2241</v>
      </c>
      <c r="I101" s="109">
        <v>2241</v>
      </c>
      <c r="J101" s="34">
        <f t="shared" si="5"/>
        <v>1335.636</v>
      </c>
      <c r="K101" t="s">
        <v>3246</v>
      </c>
    </row>
    <row r="102" spans="2:11" x14ac:dyDescent="0.25">
      <c r="B102" s="35"/>
      <c r="C102" s="1"/>
      <c r="D102" s="1"/>
      <c r="E102" s="91"/>
      <c r="F102" s="7"/>
      <c r="G102" s="11"/>
      <c r="H102" s="107"/>
      <c r="I102" s="109"/>
      <c r="J102" s="34"/>
    </row>
    <row r="103" spans="2:11" x14ac:dyDescent="0.25">
      <c r="B103" s="35" t="s">
        <v>2110</v>
      </c>
      <c r="C103" s="1" t="s">
        <v>2091</v>
      </c>
      <c r="D103" s="1" t="s">
        <v>6</v>
      </c>
      <c r="E103" s="91" t="s">
        <v>2359</v>
      </c>
      <c r="F103" s="7" t="s">
        <v>2090</v>
      </c>
      <c r="G103" s="11">
        <v>2075</v>
      </c>
      <c r="H103" s="107">
        <f t="shared" si="4"/>
        <v>2241</v>
      </c>
      <c r="I103" s="109">
        <v>2241</v>
      </c>
      <c r="J103" s="34">
        <f t="shared" si="5"/>
        <v>1335.636</v>
      </c>
      <c r="K103" t="s">
        <v>3246</v>
      </c>
    </row>
    <row r="104" spans="2:11" x14ac:dyDescent="0.25">
      <c r="B104" s="35"/>
      <c r="C104" s="1"/>
      <c r="D104" s="1"/>
      <c r="E104" s="91"/>
      <c r="F104" s="7"/>
      <c r="G104" s="11"/>
      <c r="H104" s="107"/>
      <c r="I104" s="109"/>
      <c r="J104" s="34"/>
    </row>
    <row r="105" spans="2:11" x14ac:dyDescent="0.25">
      <c r="B105" s="35" t="s">
        <v>2111</v>
      </c>
      <c r="C105" s="1" t="s">
        <v>2092</v>
      </c>
      <c r="D105" s="1" t="s">
        <v>6</v>
      </c>
      <c r="E105" s="91" t="s">
        <v>2360</v>
      </c>
      <c r="F105" s="7" t="s">
        <v>2093</v>
      </c>
      <c r="G105" s="11">
        <v>2241</v>
      </c>
      <c r="H105" s="107">
        <f t="shared" si="4"/>
        <v>2420.2800000000002</v>
      </c>
      <c r="I105" s="109">
        <v>2420.2800000000002</v>
      </c>
      <c r="J105" s="34">
        <f t="shared" si="5"/>
        <v>1442.4868800000002</v>
      </c>
      <c r="K105" t="s">
        <v>3246</v>
      </c>
    </row>
    <row r="106" spans="2:11" x14ac:dyDescent="0.25">
      <c r="B106" s="35"/>
      <c r="C106" s="1"/>
      <c r="D106" s="1"/>
      <c r="E106" s="91"/>
      <c r="F106" s="7"/>
      <c r="G106" s="11"/>
      <c r="H106" s="107"/>
      <c r="I106" s="109"/>
      <c r="J106" s="34"/>
    </row>
    <row r="107" spans="2:11" x14ac:dyDescent="0.25">
      <c r="B107" s="35" t="s">
        <v>2112</v>
      </c>
      <c r="C107" s="1" t="s">
        <v>2087</v>
      </c>
      <c r="D107" s="1" t="s">
        <v>7</v>
      </c>
      <c r="E107" s="91" t="s">
        <v>2361</v>
      </c>
      <c r="F107" s="7" t="s">
        <v>2088</v>
      </c>
      <c r="G107" s="11">
        <v>1967</v>
      </c>
      <c r="H107" s="107">
        <f t="shared" si="4"/>
        <v>2124.36</v>
      </c>
      <c r="I107" s="109">
        <v>2124.36</v>
      </c>
      <c r="J107" s="34">
        <f t="shared" si="5"/>
        <v>1266.1185600000001</v>
      </c>
      <c r="K107" t="s">
        <v>3246</v>
      </c>
    </row>
    <row r="108" spans="2:11" x14ac:dyDescent="0.25">
      <c r="B108" s="35"/>
      <c r="C108" s="1"/>
      <c r="D108" s="1"/>
      <c r="E108" s="91"/>
      <c r="F108" s="7"/>
      <c r="G108" s="11"/>
      <c r="H108" s="107"/>
      <c r="I108" s="109"/>
      <c r="J108" s="34"/>
    </row>
    <row r="109" spans="2:11" x14ac:dyDescent="0.25">
      <c r="B109" s="35" t="s">
        <v>2113</v>
      </c>
      <c r="C109" s="1" t="s">
        <v>2089</v>
      </c>
      <c r="D109" s="1" t="s">
        <v>7</v>
      </c>
      <c r="E109" s="91" t="s">
        <v>2362</v>
      </c>
      <c r="F109" s="7" t="s">
        <v>2090</v>
      </c>
      <c r="G109" s="11">
        <v>2110</v>
      </c>
      <c r="H109" s="107">
        <f t="shared" si="4"/>
        <v>2278.8000000000002</v>
      </c>
      <c r="I109" s="109">
        <v>2278.8000000000002</v>
      </c>
      <c r="J109" s="34">
        <f t="shared" si="5"/>
        <v>1358.1648</v>
      </c>
      <c r="K109" t="s">
        <v>3246</v>
      </c>
    </row>
    <row r="110" spans="2:11" x14ac:dyDescent="0.25">
      <c r="B110" s="35"/>
      <c r="C110" s="1"/>
      <c r="D110" s="1"/>
      <c r="E110" s="91"/>
      <c r="F110" s="7"/>
      <c r="G110" s="11"/>
      <c r="H110" s="107"/>
      <c r="I110" s="109"/>
      <c r="J110" s="34"/>
    </row>
    <row r="111" spans="2:11" x14ac:dyDescent="0.25">
      <c r="B111" s="35" t="s">
        <v>2114</v>
      </c>
      <c r="C111" s="1" t="s">
        <v>2091</v>
      </c>
      <c r="D111" s="1" t="s">
        <v>7</v>
      </c>
      <c r="E111" s="91" t="s">
        <v>2363</v>
      </c>
      <c r="F111" s="7" t="s">
        <v>2090</v>
      </c>
      <c r="G111" s="11">
        <v>2110</v>
      </c>
      <c r="H111" s="107">
        <f t="shared" si="4"/>
        <v>2278.8000000000002</v>
      </c>
      <c r="I111" s="109">
        <v>2278.8000000000002</v>
      </c>
      <c r="J111" s="34">
        <f t="shared" si="5"/>
        <v>1358.1648</v>
      </c>
      <c r="K111" t="s">
        <v>3246</v>
      </c>
    </row>
    <row r="112" spans="2:11" x14ac:dyDescent="0.25">
      <c r="B112" s="35"/>
      <c r="C112" s="1"/>
      <c r="D112" s="1"/>
      <c r="E112" s="91"/>
      <c r="F112" s="7"/>
      <c r="G112" s="11"/>
      <c r="H112" s="107"/>
      <c r="I112" s="109"/>
      <c r="J112" s="34"/>
    </row>
    <row r="113" spans="1:11" x14ac:dyDescent="0.25">
      <c r="B113" s="35" t="s">
        <v>2115</v>
      </c>
      <c r="C113" s="1" t="s">
        <v>2092</v>
      </c>
      <c r="D113" s="1" t="s">
        <v>7</v>
      </c>
      <c r="E113" s="91" t="s">
        <v>2364</v>
      </c>
      <c r="F113" s="7" t="s">
        <v>2093</v>
      </c>
      <c r="G113" s="11">
        <v>2277</v>
      </c>
      <c r="H113" s="107">
        <f t="shared" si="4"/>
        <v>2459.1600000000003</v>
      </c>
      <c r="I113" s="109">
        <v>2459.1600000000003</v>
      </c>
      <c r="J113" s="34">
        <f t="shared" si="5"/>
        <v>1465.6593600000001</v>
      </c>
      <c r="K113" t="s">
        <v>3246</v>
      </c>
    </row>
    <row r="114" spans="1:11" x14ac:dyDescent="0.25">
      <c r="B114" s="35"/>
      <c r="C114" s="1"/>
      <c r="D114" s="1"/>
      <c r="E114" s="91"/>
      <c r="F114" s="7"/>
      <c r="G114" s="11"/>
      <c r="H114" s="107"/>
      <c r="I114" s="109"/>
      <c r="J114" s="34"/>
    </row>
    <row r="115" spans="1:11" x14ac:dyDescent="0.25">
      <c r="B115" s="35" t="s">
        <v>2116</v>
      </c>
      <c r="C115" s="1" t="s">
        <v>2087</v>
      </c>
      <c r="D115" s="1" t="s">
        <v>8</v>
      </c>
      <c r="E115" s="91" t="s">
        <v>2365</v>
      </c>
      <c r="F115" s="7" t="s">
        <v>2088</v>
      </c>
      <c r="G115" s="11">
        <v>2027</v>
      </c>
      <c r="H115" s="107">
        <f t="shared" si="4"/>
        <v>2189.1600000000003</v>
      </c>
      <c r="I115" s="109">
        <v>2189.1600000000003</v>
      </c>
      <c r="J115" s="34">
        <f t="shared" si="5"/>
        <v>1304.73936</v>
      </c>
      <c r="K115" t="s">
        <v>3246</v>
      </c>
    </row>
    <row r="116" spans="1:11" x14ac:dyDescent="0.25">
      <c r="B116" s="35"/>
      <c r="C116" s="1"/>
      <c r="D116" s="1"/>
      <c r="E116" s="91"/>
      <c r="F116" s="7"/>
      <c r="G116" s="11"/>
      <c r="H116" s="107"/>
      <c r="I116" s="109"/>
      <c r="J116" s="34"/>
    </row>
    <row r="117" spans="1:11" x14ac:dyDescent="0.25">
      <c r="A117" t="s">
        <v>3149</v>
      </c>
      <c r="B117" s="35" t="s">
        <v>2117</v>
      </c>
      <c r="C117" s="1" t="s">
        <v>2089</v>
      </c>
      <c r="D117" s="1" t="s">
        <v>8</v>
      </c>
      <c r="E117" s="91" t="s">
        <v>2366</v>
      </c>
      <c r="F117" s="7" t="s">
        <v>2090</v>
      </c>
      <c r="G117" s="11">
        <v>2169</v>
      </c>
      <c r="H117" s="107">
        <f t="shared" si="4"/>
        <v>2342.52</v>
      </c>
      <c r="I117" s="109">
        <v>2342.52</v>
      </c>
      <c r="J117" s="34">
        <f t="shared" si="5"/>
        <v>1396.14192</v>
      </c>
      <c r="K117" t="s">
        <v>3246</v>
      </c>
    </row>
    <row r="118" spans="1:11" x14ac:dyDescent="0.25">
      <c r="B118" s="35"/>
      <c r="C118" s="1"/>
      <c r="D118" s="1"/>
      <c r="E118" s="91"/>
      <c r="F118" s="7"/>
      <c r="G118" s="11"/>
      <c r="H118" s="107"/>
      <c r="I118" s="109"/>
      <c r="J118" s="34"/>
    </row>
    <row r="119" spans="1:11" x14ac:dyDescent="0.25">
      <c r="B119" s="35" t="s">
        <v>2118</v>
      </c>
      <c r="C119" s="1" t="s">
        <v>2091</v>
      </c>
      <c r="D119" s="1" t="s">
        <v>8</v>
      </c>
      <c r="E119" s="91" t="s">
        <v>2367</v>
      </c>
      <c r="F119" s="7" t="s">
        <v>2090</v>
      </c>
      <c r="G119" s="11">
        <v>2169</v>
      </c>
      <c r="H119" s="107">
        <f t="shared" si="4"/>
        <v>2342.52</v>
      </c>
      <c r="I119" s="109">
        <v>2342.52</v>
      </c>
      <c r="J119" s="34">
        <f t="shared" si="5"/>
        <v>1396.14192</v>
      </c>
      <c r="K119" t="s">
        <v>3246</v>
      </c>
    </row>
    <row r="120" spans="1:11" x14ac:dyDescent="0.25">
      <c r="B120" s="35"/>
      <c r="C120" s="1"/>
      <c r="D120" s="1"/>
      <c r="E120" s="91"/>
      <c r="F120" s="7"/>
      <c r="G120" s="11"/>
      <c r="H120" s="107">
        <f t="shared" si="4"/>
        <v>0</v>
      </c>
      <c r="I120" s="109">
        <v>0</v>
      </c>
      <c r="J120" s="34"/>
    </row>
    <row r="121" spans="1:11" x14ac:dyDescent="0.25">
      <c r="B121" s="35" t="s">
        <v>2119</v>
      </c>
      <c r="C121" s="1" t="s">
        <v>2092</v>
      </c>
      <c r="D121" s="1" t="s">
        <v>8</v>
      </c>
      <c r="E121" s="91" t="s">
        <v>2368</v>
      </c>
      <c r="F121" s="7" t="s">
        <v>2093</v>
      </c>
      <c r="G121" s="11">
        <v>2338</v>
      </c>
      <c r="H121" s="107">
        <f t="shared" si="4"/>
        <v>2525.04</v>
      </c>
      <c r="I121" s="109">
        <v>2525.04</v>
      </c>
      <c r="J121" s="34">
        <f t="shared" si="5"/>
        <v>1504.9238399999999</v>
      </c>
      <c r="K121" t="s">
        <v>3246</v>
      </c>
    </row>
    <row r="122" spans="1:11" x14ac:dyDescent="0.25">
      <c r="B122" s="35"/>
      <c r="C122" s="1"/>
      <c r="D122" s="1"/>
      <c r="E122" s="91"/>
      <c r="F122" s="7"/>
      <c r="G122" s="11"/>
      <c r="H122" s="107"/>
      <c r="I122" s="109"/>
      <c r="J122" s="34"/>
    </row>
    <row r="123" spans="1:11" x14ac:dyDescent="0.25">
      <c r="B123" s="6" t="s">
        <v>1955</v>
      </c>
      <c r="C123" s="1" t="s">
        <v>2087</v>
      </c>
      <c r="D123" s="7" t="s">
        <v>9</v>
      </c>
      <c r="E123" s="91" t="s">
        <v>2369</v>
      </c>
      <c r="F123" s="7" t="s">
        <v>2088</v>
      </c>
      <c r="G123" s="11">
        <v>2089</v>
      </c>
      <c r="H123" s="107">
        <f t="shared" si="4"/>
        <v>2256.1200000000003</v>
      </c>
      <c r="I123" s="109">
        <v>2256.1200000000003</v>
      </c>
      <c r="J123" s="34">
        <f t="shared" si="5"/>
        <v>1344.6475200000002</v>
      </c>
      <c r="K123" t="s">
        <v>3246</v>
      </c>
    </row>
    <row r="124" spans="1:11" x14ac:dyDescent="0.25">
      <c r="B124" s="6"/>
      <c r="C124" s="1"/>
      <c r="D124" s="7"/>
      <c r="E124" s="91"/>
      <c r="F124" s="7"/>
      <c r="G124" s="11"/>
      <c r="H124" s="107"/>
      <c r="I124" s="109"/>
      <c r="J124" s="34"/>
    </row>
    <row r="125" spans="1:11" x14ac:dyDescent="0.25">
      <c r="B125" s="6" t="s">
        <v>1922</v>
      </c>
      <c r="C125" s="1" t="s">
        <v>2089</v>
      </c>
      <c r="D125" s="7" t="s">
        <v>9</v>
      </c>
      <c r="E125" s="91" t="s">
        <v>2370</v>
      </c>
      <c r="F125" s="7" t="s">
        <v>2090</v>
      </c>
      <c r="G125" s="11">
        <v>2231</v>
      </c>
      <c r="H125" s="107">
        <f t="shared" si="4"/>
        <v>2409.48</v>
      </c>
      <c r="I125" s="109">
        <v>2409.48</v>
      </c>
      <c r="J125" s="34">
        <f t="shared" si="5"/>
        <v>1436.05008</v>
      </c>
      <c r="K125" t="s">
        <v>3246</v>
      </c>
    </row>
    <row r="126" spans="1:11" x14ac:dyDescent="0.25">
      <c r="B126" s="6"/>
      <c r="C126" s="1"/>
      <c r="D126" s="7"/>
      <c r="E126" s="91"/>
      <c r="F126" s="7"/>
      <c r="G126" s="11"/>
      <c r="H126" s="107"/>
      <c r="I126" s="109"/>
      <c r="J126" s="34"/>
    </row>
    <row r="127" spans="1:11" x14ac:dyDescent="0.25">
      <c r="B127" s="6" t="s">
        <v>1923</v>
      </c>
      <c r="C127" s="1" t="s">
        <v>2091</v>
      </c>
      <c r="D127" s="7" t="s">
        <v>9</v>
      </c>
      <c r="E127" s="91" t="s">
        <v>2371</v>
      </c>
      <c r="F127" s="7" t="s">
        <v>2090</v>
      </c>
      <c r="G127" s="11">
        <v>2231</v>
      </c>
      <c r="H127" s="107">
        <f t="shared" si="4"/>
        <v>2409.48</v>
      </c>
      <c r="I127" s="109">
        <v>2409.48</v>
      </c>
      <c r="J127" s="34">
        <f t="shared" si="5"/>
        <v>1436.05008</v>
      </c>
      <c r="K127" t="s">
        <v>3246</v>
      </c>
    </row>
    <row r="128" spans="1:11" x14ac:dyDescent="0.25">
      <c r="B128" s="6"/>
      <c r="C128" s="1"/>
      <c r="D128" s="7"/>
      <c r="E128" s="91"/>
      <c r="F128" s="7"/>
      <c r="G128" s="11"/>
      <c r="H128" s="107"/>
      <c r="I128" s="109"/>
      <c r="J128" s="34"/>
    </row>
    <row r="129" spans="2:11" x14ac:dyDescent="0.25">
      <c r="B129" s="6" t="s">
        <v>1924</v>
      </c>
      <c r="C129" s="1" t="s">
        <v>2092</v>
      </c>
      <c r="D129" s="7" t="s">
        <v>9</v>
      </c>
      <c r="E129" s="91" t="s">
        <v>2372</v>
      </c>
      <c r="F129" s="7" t="s">
        <v>2093</v>
      </c>
      <c r="G129" s="11">
        <v>2401</v>
      </c>
      <c r="H129" s="107">
        <f t="shared" si="4"/>
        <v>2593.0800000000004</v>
      </c>
      <c r="I129" s="109">
        <v>2593.0800000000004</v>
      </c>
      <c r="J129" s="34">
        <f t="shared" si="5"/>
        <v>1545.4756800000002</v>
      </c>
      <c r="K129" t="s">
        <v>3246</v>
      </c>
    </row>
    <row r="130" spans="2:11" x14ac:dyDescent="0.25">
      <c r="B130" s="6"/>
      <c r="C130" s="1"/>
      <c r="D130" s="7"/>
      <c r="E130" s="91"/>
      <c r="F130" s="7"/>
      <c r="G130" s="11"/>
      <c r="H130" s="107"/>
      <c r="I130" s="109"/>
      <c r="J130" s="34"/>
    </row>
    <row r="131" spans="2:11" x14ac:dyDescent="0.25">
      <c r="B131" s="6" t="s">
        <v>1925</v>
      </c>
      <c r="C131" s="1" t="s">
        <v>2087</v>
      </c>
      <c r="D131" s="7" t="s">
        <v>10</v>
      </c>
      <c r="E131" s="91" t="s">
        <v>2373</v>
      </c>
      <c r="F131" s="7" t="s">
        <v>2088</v>
      </c>
      <c r="G131" s="11">
        <v>2193</v>
      </c>
      <c r="H131" s="107">
        <f t="shared" si="4"/>
        <v>2368.44</v>
      </c>
      <c r="I131" s="109">
        <v>2368.44</v>
      </c>
      <c r="J131" s="34">
        <f t="shared" si="5"/>
        <v>1411.59024</v>
      </c>
      <c r="K131" t="s">
        <v>3246</v>
      </c>
    </row>
    <row r="132" spans="2:11" x14ac:dyDescent="0.25">
      <c r="B132" s="6"/>
      <c r="C132" s="1"/>
      <c r="D132" s="7"/>
      <c r="E132" s="91"/>
      <c r="F132" s="7"/>
      <c r="G132" s="11"/>
      <c r="H132" s="107"/>
      <c r="I132" s="109"/>
      <c r="J132" s="34"/>
    </row>
    <row r="133" spans="2:11" x14ac:dyDescent="0.25">
      <c r="B133" s="6" t="s">
        <v>1926</v>
      </c>
      <c r="C133" s="1" t="s">
        <v>2089</v>
      </c>
      <c r="D133" s="7" t="s">
        <v>10</v>
      </c>
      <c r="E133" s="91" t="s">
        <v>2374</v>
      </c>
      <c r="F133" s="7" t="s">
        <v>2090</v>
      </c>
      <c r="G133" s="11">
        <v>2295</v>
      </c>
      <c r="H133" s="107">
        <f t="shared" ref="H133:H195" si="6">G133*1.08</f>
        <v>2478.6000000000004</v>
      </c>
      <c r="I133" s="109">
        <v>2478.6000000000004</v>
      </c>
      <c r="J133" s="34">
        <f t="shared" si="5"/>
        <v>1477.2456000000002</v>
      </c>
      <c r="K133" t="s">
        <v>3246</v>
      </c>
    </row>
    <row r="134" spans="2:11" x14ac:dyDescent="0.25">
      <c r="B134" s="6"/>
      <c r="C134" s="1"/>
      <c r="D134" s="7"/>
      <c r="E134" s="91"/>
      <c r="F134" s="7"/>
      <c r="G134" s="11"/>
      <c r="H134" s="107"/>
      <c r="I134" s="109"/>
      <c r="J134" s="34"/>
    </row>
    <row r="135" spans="2:11" x14ac:dyDescent="0.25">
      <c r="B135" s="6" t="s">
        <v>1927</v>
      </c>
      <c r="C135" s="1" t="s">
        <v>2091</v>
      </c>
      <c r="D135" s="7" t="s">
        <v>10</v>
      </c>
      <c r="E135" s="91" t="s">
        <v>2375</v>
      </c>
      <c r="F135" s="7" t="s">
        <v>2090</v>
      </c>
      <c r="G135" s="11">
        <v>2295</v>
      </c>
      <c r="H135" s="107">
        <f t="shared" si="6"/>
        <v>2478.6000000000004</v>
      </c>
      <c r="I135" s="109">
        <v>2478.6000000000004</v>
      </c>
      <c r="J135" s="34">
        <f t="shared" si="5"/>
        <v>1477.2456000000002</v>
      </c>
      <c r="K135" t="s">
        <v>3246</v>
      </c>
    </row>
    <row r="136" spans="2:11" x14ac:dyDescent="0.25">
      <c r="B136" s="6"/>
      <c r="C136" s="1"/>
      <c r="D136" s="7"/>
      <c r="E136" s="91"/>
      <c r="F136" s="7"/>
      <c r="G136" s="11"/>
      <c r="H136" s="107"/>
      <c r="I136" s="109"/>
      <c r="J136" s="34"/>
    </row>
    <row r="137" spans="2:11" x14ac:dyDescent="0.25">
      <c r="B137" s="6" t="s">
        <v>1928</v>
      </c>
      <c r="C137" s="1" t="s">
        <v>2092</v>
      </c>
      <c r="D137" s="7" t="s">
        <v>10</v>
      </c>
      <c r="E137" s="91" t="s">
        <v>2376</v>
      </c>
      <c r="F137" s="7" t="s">
        <v>2093</v>
      </c>
      <c r="G137" s="11">
        <v>2509</v>
      </c>
      <c r="H137" s="107">
        <f t="shared" si="6"/>
        <v>2709.7200000000003</v>
      </c>
      <c r="I137" s="109">
        <v>2709.7200000000003</v>
      </c>
      <c r="J137" s="34">
        <f t="shared" si="5"/>
        <v>1614.9931200000001</v>
      </c>
      <c r="K137" t="s">
        <v>3246</v>
      </c>
    </row>
    <row r="138" spans="2:11" x14ac:dyDescent="0.25">
      <c r="B138" s="6"/>
      <c r="C138" s="1"/>
      <c r="D138" s="7"/>
      <c r="E138" s="91"/>
      <c r="F138" s="7"/>
      <c r="G138" s="11"/>
      <c r="H138" s="107"/>
      <c r="I138" s="109"/>
      <c r="J138" s="34"/>
    </row>
    <row r="139" spans="2:11" x14ac:dyDescent="0.25">
      <c r="B139" s="6" t="s">
        <v>1929</v>
      </c>
      <c r="C139" s="1" t="s">
        <v>2087</v>
      </c>
      <c r="D139" s="7" t="s">
        <v>11</v>
      </c>
      <c r="E139" s="91" t="s">
        <v>2377</v>
      </c>
      <c r="F139" s="7" t="s">
        <v>2088</v>
      </c>
      <c r="G139" s="11">
        <v>2223</v>
      </c>
      <c r="H139" s="107">
        <f t="shared" si="6"/>
        <v>2400.84</v>
      </c>
      <c r="I139" s="109">
        <v>2400.84</v>
      </c>
      <c r="J139" s="34">
        <f t="shared" si="5"/>
        <v>1430.9006400000001</v>
      </c>
      <c r="K139" t="s">
        <v>3246</v>
      </c>
    </row>
    <row r="140" spans="2:11" x14ac:dyDescent="0.25">
      <c r="B140" s="6"/>
      <c r="C140" s="1"/>
      <c r="D140" s="7"/>
      <c r="E140" s="91"/>
      <c r="F140" s="7"/>
      <c r="G140" s="11"/>
      <c r="H140" s="107"/>
      <c r="I140" s="109"/>
      <c r="J140" s="34"/>
    </row>
    <row r="141" spans="2:11" x14ac:dyDescent="0.25">
      <c r="B141" s="6" t="s">
        <v>1930</v>
      </c>
      <c r="C141" s="1" t="s">
        <v>2089</v>
      </c>
      <c r="D141" s="7" t="s">
        <v>11</v>
      </c>
      <c r="E141" s="91" t="s">
        <v>2378</v>
      </c>
      <c r="F141" s="7" t="s">
        <v>2090</v>
      </c>
      <c r="G141" s="11">
        <v>2396</v>
      </c>
      <c r="H141" s="107">
        <f t="shared" si="6"/>
        <v>2587.6800000000003</v>
      </c>
      <c r="I141" s="109">
        <v>2587.6800000000003</v>
      </c>
      <c r="J141" s="34">
        <f t="shared" si="5"/>
        <v>1542.25728</v>
      </c>
      <c r="K141" t="s">
        <v>3246</v>
      </c>
    </row>
    <row r="142" spans="2:11" x14ac:dyDescent="0.25">
      <c r="B142" s="6"/>
      <c r="C142" s="1"/>
      <c r="D142" s="7"/>
      <c r="E142" s="91"/>
      <c r="F142" s="7"/>
      <c r="G142" s="11"/>
      <c r="H142" s="107"/>
      <c r="I142" s="109"/>
      <c r="J142" s="34"/>
    </row>
    <row r="143" spans="2:11" x14ac:dyDescent="0.25">
      <c r="B143" s="6" t="s">
        <v>1931</v>
      </c>
      <c r="C143" s="1" t="s">
        <v>2091</v>
      </c>
      <c r="D143" s="7" t="s">
        <v>11</v>
      </c>
      <c r="E143" s="91" t="s">
        <v>2379</v>
      </c>
      <c r="F143" s="7" t="s">
        <v>2090</v>
      </c>
      <c r="G143" s="11">
        <v>2396</v>
      </c>
      <c r="H143" s="107">
        <f t="shared" si="6"/>
        <v>2587.6800000000003</v>
      </c>
      <c r="I143" s="109">
        <v>2587.6800000000003</v>
      </c>
      <c r="J143" s="34">
        <f t="shared" si="5"/>
        <v>1542.25728</v>
      </c>
      <c r="K143" t="s">
        <v>3246</v>
      </c>
    </row>
    <row r="144" spans="2:11" x14ac:dyDescent="0.25">
      <c r="B144" s="6"/>
      <c r="C144" s="1"/>
      <c r="D144" s="7"/>
      <c r="E144" s="91"/>
      <c r="F144" s="7"/>
      <c r="G144" s="11"/>
      <c r="H144" s="107"/>
      <c r="I144" s="109"/>
      <c r="J144" s="34"/>
    </row>
    <row r="145" spans="1:11" x14ac:dyDescent="0.25">
      <c r="B145" s="6" t="s">
        <v>1932</v>
      </c>
      <c r="C145" s="1" t="s">
        <v>2092</v>
      </c>
      <c r="D145" s="7" t="s">
        <v>11</v>
      </c>
      <c r="E145" s="91" t="s">
        <v>2380</v>
      </c>
      <c r="F145" s="7" t="s">
        <v>2093</v>
      </c>
      <c r="G145" s="11">
        <v>2570</v>
      </c>
      <c r="H145" s="107">
        <f t="shared" si="6"/>
        <v>2775.6000000000004</v>
      </c>
      <c r="I145" s="109">
        <v>2775.6000000000004</v>
      </c>
      <c r="J145" s="34">
        <f t="shared" si="5"/>
        <v>1654.2576000000001</v>
      </c>
      <c r="K145" t="s">
        <v>3246</v>
      </c>
    </row>
    <row r="146" spans="1:11" s="62" customFormat="1" x14ac:dyDescent="0.25">
      <c r="A146" s="61"/>
      <c r="B146" s="63"/>
      <c r="C146" s="63"/>
      <c r="D146" s="63"/>
      <c r="E146" s="78"/>
      <c r="F146" s="63"/>
      <c r="G146" s="65"/>
      <c r="H146" s="108"/>
      <c r="I146" s="108"/>
      <c r="J146" s="63"/>
    </row>
    <row r="147" spans="1:11" x14ac:dyDescent="0.25">
      <c r="A147" s="4"/>
      <c r="B147" s="6" t="s">
        <v>2120</v>
      </c>
      <c r="C147" s="1" t="s">
        <v>2121</v>
      </c>
      <c r="D147" s="1" t="s">
        <v>1980</v>
      </c>
      <c r="E147" s="91" t="s">
        <v>2381</v>
      </c>
      <c r="F147" s="7" t="s">
        <v>2122</v>
      </c>
      <c r="G147" s="11">
        <v>2611</v>
      </c>
      <c r="H147" s="107">
        <f t="shared" si="6"/>
        <v>2819.88</v>
      </c>
      <c r="I147" s="109">
        <f t="shared" ref="I147:I195" si="7">H147*1.08</f>
        <v>3045.4704000000002</v>
      </c>
      <c r="J147" s="34">
        <f t="shared" ref="J147:J193" si="8">I147*0.596</f>
        <v>1815.1003584</v>
      </c>
      <c r="K147" t="s">
        <v>3247</v>
      </c>
    </row>
    <row r="148" spans="1:11" x14ac:dyDescent="0.25">
      <c r="A148" s="4"/>
      <c r="B148" s="6"/>
      <c r="C148" s="1"/>
      <c r="D148" s="1"/>
      <c r="E148" s="91"/>
      <c r="F148" s="7"/>
      <c r="G148" s="11"/>
      <c r="H148" s="107"/>
      <c r="I148" s="109"/>
      <c r="J148" s="34"/>
    </row>
    <row r="149" spans="1:11" x14ac:dyDescent="0.25">
      <c r="B149" s="6" t="s">
        <v>2123</v>
      </c>
      <c r="C149" s="1" t="s">
        <v>2124</v>
      </c>
      <c r="D149" s="1" t="s">
        <v>1980</v>
      </c>
      <c r="E149" s="91" t="s">
        <v>2382</v>
      </c>
      <c r="F149" s="7" t="s">
        <v>2125</v>
      </c>
      <c r="G149" s="11">
        <v>2791</v>
      </c>
      <c r="H149" s="107">
        <f t="shared" si="6"/>
        <v>3014.28</v>
      </c>
      <c r="I149" s="109">
        <f t="shared" si="7"/>
        <v>3255.4224000000004</v>
      </c>
      <c r="J149" s="34">
        <f t="shared" si="8"/>
        <v>1940.2317504000002</v>
      </c>
      <c r="K149" t="s">
        <v>3247</v>
      </c>
    </row>
    <row r="150" spans="1:11" x14ac:dyDescent="0.25">
      <c r="B150" s="6"/>
      <c r="C150" s="1"/>
      <c r="D150" s="1"/>
      <c r="E150" s="91"/>
      <c r="F150" s="7"/>
      <c r="G150" s="11"/>
      <c r="H150" s="107"/>
      <c r="I150" s="109"/>
      <c r="J150" s="34"/>
    </row>
    <row r="151" spans="1:11" x14ac:dyDescent="0.25">
      <c r="B151" s="6" t="s">
        <v>2126</v>
      </c>
      <c r="C151" s="1" t="s">
        <v>2127</v>
      </c>
      <c r="D151" s="1" t="s">
        <v>1980</v>
      </c>
      <c r="E151" s="91" t="s">
        <v>2383</v>
      </c>
      <c r="F151" s="7" t="s">
        <v>2125</v>
      </c>
      <c r="G151" s="11">
        <v>2791</v>
      </c>
      <c r="H151" s="107">
        <f t="shared" si="6"/>
        <v>3014.28</v>
      </c>
      <c r="I151" s="109">
        <f t="shared" si="7"/>
        <v>3255.4224000000004</v>
      </c>
      <c r="J151" s="34">
        <f t="shared" si="8"/>
        <v>1940.2317504000002</v>
      </c>
      <c r="K151" t="s">
        <v>3247</v>
      </c>
    </row>
    <row r="152" spans="1:11" x14ac:dyDescent="0.25">
      <c r="B152" s="6"/>
      <c r="C152" s="1"/>
      <c r="D152" s="1"/>
      <c r="E152" s="91"/>
      <c r="F152" s="7"/>
      <c r="G152" s="11"/>
      <c r="H152" s="107"/>
      <c r="I152" s="109"/>
      <c r="J152" s="34"/>
    </row>
    <row r="153" spans="1:11" x14ac:dyDescent="0.25">
      <c r="B153" s="6" t="s">
        <v>2128</v>
      </c>
      <c r="C153" s="1" t="s">
        <v>2129</v>
      </c>
      <c r="D153" s="1" t="s">
        <v>1980</v>
      </c>
      <c r="E153" s="91" t="s">
        <v>2384</v>
      </c>
      <c r="F153" s="7" t="s">
        <v>2130</v>
      </c>
      <c r="G153" s="11">
        <v>2975</v>
      </c>
      <c r="H153" s="107">
        <f t="shared" si="6"/>
        <v>3213</v>
      </c>
      <c r="I153" s="109">
        <f t="shared" si="7"/>
        <v>3470.0400000000004</v>
      </c>
      <c r="J153" s="34">
        <f t="shared" si="8"/>
        <v>2068.1438400000002</v>
      </c>
      <c r="K153" t="s">
        <v>3247</v>
      </c>
    </row>
    <row r="154" spans="1:11" x14ac:dyDescent="0.25">
      <c r="B154" s="6"/>
      <c r="C154" s="1"/>
      <c r="D154" s="1"/>
      <c r="E154" s="91"/>
      <c r="F154" s="7"/>
      <c r="G154" s="11"/>
      <c r="H154" s="107"/>
      <c r="I154" s="109"/>
      <c r="J154" s="34"/>
    </row>
    <row r="155" spans="1:11" x14ac:dyDescent="0.25">
      <c r="B155" s="6" t="s">
        <v>2131</v>
      </c>
      <c r="C155" s="1" t="s">
        <v>2121</v>
      </c>
      <c r="D155" s="1" t="s">
        <v>1981</v>
      </c>
      <c r="E155" s="91" t="s">
        <v>2385</v>
      </c>
      <c r="F155" s="7" t="s">
        <v>2122</v>
      </c>
      <c r="G155" s="11">
        <v>2691</v>
      </c>
      <c r="H155" s="107">
        <f t="shared" si="6"/>
        <v>2906.28</v>
      </c>
      <c r="I155" s="109">
        <f t="shared" si="7"/>
        <v>3138.7824000000005</v>
      </c>
      <c r="J155" s="34">
        <f t="shared" si="8"/>
        <v>1870.7143104000002</v>
      </c>
      <c r="K155" t="s">
        <v>3247</v>
      </c>
    </row>
    <row r="156" spans="1:11" x14ac:dyDescent="0.25">
      <c r="B156" s="6"/>
      <c r="C156" s="1"/>
      <c r="D156" s="1"/>
      <c r="E156" s="91"/>
      <c r="F156" s="7"/>
      <c r="G156" s="11"/>
      <c r="H156" s="107"/>
      <c r="I156" s="109"/>
      <c r="J156" s="34"/>
    </row>
    <row r="157" spans="1:11" x14ac:dyDescent="0.25">
      <c r="B157" s="6" t="s">
        <v>2132</v>
      </c>
      <c r="C157" s="1" t="s">
        <v>2124</v>
      </c>
      <c r="D157" s="1" t="s">
        <v>1981</v>
      </c>
      <c r="E157" s="91" t="s">
        <v>2386</v>
      </c>
      <c r="F157" s="7" t="s">
        <v>2125</v>
      </c>
      <c r="G157" s="11">
        <v>2870</v>
      </c>
      <c r="H157" s="107">
        <f t="shared" si="6"/>
        <v>3099.6000000000004</v>
      </c>
      <c r="I157" s="109">
        <f t="shared" si="7"/>
        <v>3347.5680000000007</v>
      </c>
      <c r="J157" s="34">
        <f t="shared" si="8"/>
        <v>1995.1505280000003</v>
      </c>
      <c r="K157" t="s">
        <v>3247</v>
      </c>
    </row>
    <row r="158" spans="1:11" x14ac:dyDescent="0.25">
      <c r="B158" s="6"/>
      <c r="C158" s="1"/>
      <c r="D158" s="1"/>
      <c r="E158" s="91"/>
      <c r="F158" s="7"/>
      <c r="G158" s="11"/>
      <c r="H158" s="107"/>
      <c r="I158" s="109"/>
      <c r="J158" s="34"/>
    </row>
    <row r="159" spans="1:11" x14ac:dyDescent="0.25">
      <c r="B159" s="6" t="s">
        <v>2133</v>
      </c>
      <c r="C159" s="1" t="s">
        <v>2127</v>
      </c>
      <c r="D159" s="1" t="s">
        <v>1981</v>
      </c>
      <c r="E159" s="91" t="s">
        <v>2387</v>
      </c>
      <c r="F159" s="7" t="s">
        <v>2125</v>
      </c>
      <c r="G159" s="11">
        <v>2870</v>
      </c>
      <c r="H159" s="107">
        <f t="shared" si="6"/>
        <v>3099.6000000000004</v>
      </c>
      <c r="I159" s="109">
        <f t="shared" si="7"/>
        <v>3347.5680000000007</v>
      </c>
      <c r="J159" s="34">
        <f t="shared" si="8"/>
        <v>1995.1505280000003</v>
      </c>
      <c r="K159" t="s">
        <v>3247</v>
      </c>
    </row>
    <row r="160" spans="1:11" x14ac:dyDescent="0.25">
      <c r="B160" s="6"/>
      <c r="C160" s="1"/>
      <c r="D160" s="1"/>
      <c r="E160" s="91"/>
      <c r="F160" s="7"/>
      <c r="G160" s="11"/>
      <c r="H160" s="107"/>
      <c r="I160" s="109"/>
      <c r="J160" s="34"/>
    </row>
    <row r="161" spans="1:11" x14ac:dyDescent="0.25">
      <c r="B161" s="6" t="s">
        <v>2134</v>
      </c>
      <c r="C161" s="1" t="s">
        <v>2129</v>
      </c>
      <c r="D161" s="1" t="s">
        <v>1981</v>
      </c>
      <c r="E161" s="91" t="s">
        <v>2388</v>
      </c>
      <c r="F161" s="7" t="s">
        <v>2130</v>
      </c>
      <c r="G161" s="11">
        <v>3057</v>
      </c>
      <c r="H161" s="107">
        <f t="shared" si="6"/>
        <v>3301.5600000000004</v>
      </c>
      <c r="I161" s="109">
        <f t="shared" si="7"/>
        <v>3565.6848000000005</v>
      </c>
      <c r="J161" s="34">
        <f t="shared" si="8"/>
        <v>2125.1481408</v>
      </c>
      <c r="K161" t="s">
        <v>3247</v>
      </c>
    </row>
    <row r="162" spans="1:11" x14ac:dyDescent="0.25">
      <c r="B162" s="6"/>
      <c r="C162" s="1"/>
      <c r="D162" s="1"/>
      <c r="E162" s="91"/>
      <c r="F162" s="7"/>
      <c r="G162" s="11"/>
      <c r="H162" s="107"/>
      <c r="I162" s="109"/>
      <c r="J162" s="34"/>
    </row>
    <row r="163" spans="1:11" x14ac:dyDescent="0.25">
      <c r="B163" s="6" t="s">
        <v>2135</v>
      </c>
      <c r="C163" s="1" t="s">
        <v>2121</v>
      </c>
      <c r="D163" s="1" t="s">
        <v>1982</v>
      </c>
      <c r="E163" s="91" t="s">
        <v>2389</v>
      </c>
      <c r="F163" s="7" t="s">
        <v>2122</v>
      </c>
      <c r="G163" s="11">
        <v>2771</v>
      </c>
      <c r="H163" s="107">
        <f t="shared" si="6"/>
        <v>2992.6800000000003</v>
      </c>
      <c r="I163" s="109">
        <f t="shared" si="7"/>
        <v>3232.0944000000004</v>
      </c>
      <c r="J163" s="34">
        <f t="shared" si="8"/>
        <v>1926.3282624000001</v>
      </c>
      <c r="K163" t="s">
        <v>3247</v>
      </c>
    </row>
    <row r="164" spans="1:11" x14ac:dyDescent="0.25">
      <c r="B164" s="6"/>
      <c r="C164" s="1"/>
      <c r="D164" s="1"/>
      <c r="E164" s="91"/>
      <c r="F164" s="7"/>
      <c r="G164" s="11"/>
      <c r="H164" s="107"/>
      <c r="I164" s="109"/>
      <c r="J164" s="34"/>
    </row>
    <row r="165" spans="1:11" x14ac:dyDescent="0.25">
      <c r="B165" s="6" t="s">
        <v>2136</v>
      </c>
      <c r="C165" s="1" t="s">
        <v>2124</v>
      </c>
      <c r="D165" s="1" t="s">
        <v>1982</v>
      </c>
      <c r="E165" s="91" t="s">
        <v>2390</v>
      </c>
      <c r="F165" s="7" t="s">
        <v>2125</v>
      </c>
      <c r="G165" s="11">
        <v>2954</v>
      </c>
      <c r="H165" s="107">
        <f t="shared" si="6"/>
        <v>3190.32</v>
      </c>
      <c r="I165" s="109">
        <f t="shared" si="7"/>
        <v>3445.5456000000004</v>
      </c>
      <c r="J165" s="34">
        <f t="shared" si="8"/>
        <v>2053.5451776</v>
      </c>
      <c r="K165" t="s">
        <v>3247</v>
      </c>
    </row>
    <row r="166" spans="1:11" x14ac:dyDescent="0.25">
      <c r="B166" s="6"/>
      <c r="C166" s="1"/>
      <c r="D166" s="1"/>
      <c r="E166" s="91"/>
      <c r="F166" s="7"/>
      <c r="G166" s="11"/>
      <c r="H166" s="107"/>
      <c r="I166" s="109"/>
      <c r="J166" s="34"/>
    </row>
    <row r="167" spans="1:11" x14ac:dyDescent="0.25">
      <c r="B167" s="6" t="s">
        <v>2137</v>
      </c>
      <c r="C167" s="1" t="s">
        <v>2127</v>
      </c>
      <c r="D167" s="1" t="s">
        <v>1982</v>
      </c>
      <c r="E167" s="91" t="s">
        <v>2391</v>
      </c>
      <c r="F167" s="7" t="s">
        <v>2125</v>
      </c>
      <c r="G167" s="11">
        <v>2954</v>
      </c>
      <c r="H167" s="107">
        <f t="shared" si="6"/>
        <v>3190.32</v>
      </c>
      <c r="I167" s="109">
        <f t="shared" si="7"/>
        <v>3445.5456000000004</v>
      </c>
      <c r="J167" s="34">
        <f t="shared" si="8"/>
        <v>2053.5451776</v>
      </c>
      <c r="K167" t="s">
        <v>3247</v>
      </c>
    </row>
    <row r="168" spans="1:11" x14ac:dyDescent="0.25">
      <c r="B168" s="6"/>
      <c r="C168" s="1"/>
      <c r="D168" s="1"/>
      <c r="E168" s="91"/>
      <c r="F168" s="7"/>
      <c r="G168" s="11"/>
      <c r="H168" s="107"/>
      <c r="I168" s="109"/>
      <c r="J168" s="34"/>
    </row>
    <row r="169" spans="1:11" x14ac:dyDescent="0.25">
      <c r="B169" s="6" t="s">
        <v>2138</v>
      </c>
      <c r="C169" s="1" t="s">
        <v>2129</v>
      </c>
      <c r="D169" s="1" t="s">
        <v>1982</v>
      </c>
      <c r="E169" s="91" t="s">
        <v>2392</v>
      </c>
      <c r="F169" s="7" t="s">
        <v>2130</v>
      </c>
      <c r="G169" s="11">
        <v>3142</v>
      </c>
      <c r="H169" s="107">
        <f t="shared" si="6"/>
        <v>3393.36</v>
      </c>
      <c r="I169" s="109">
        <f t="shared" si="7"/>
        <v>3664.8288000000002</v>
      </c>
      <c r="J169" s="34">
        <f t="shared" si="8"/>
        <v>2184.2379648000001</v>
      </c>
      <c r="K169" t="s">
        <v>3247</v>
      </c>
    </row>
    <row r="170" spans="1:11" x14ac:dyDescent="0.25">
      <c r="B170" s="6"/>
      <c r="C170" s="1"/>
      <c r="D170" s="1"/>
      <c r="E170" s="91"/>
      <c r="F170" s="7"/>
      <c r="G170" s="11"/>
      <c r="H170" s="107"/>
      <c r="I170" s="109"/>
      <c r="J170" s="34"/>
    </row>
    <row r="171" spans="1:11" x14ac:dyDescent="0.25">
      <c r="B171" s="6" t="s">
        <v>2139</v>
      </c>
      <c r="C171" s="1" t="s">
        <v>2121</v>
      </c>
      <c r="D171" s="1" t="s">
        <v>1983</v>
      </c>
      <c r="E171" s="91" t="s">
        <v>2393</v>
      </c>
      <c r="F171" s="7" t="s">
        <v>2122</v>
      </c>
      <c r="G171" s="11">
        <v>2861</v>
      </c>
      <c r="H171" s="107">
        <f t="shared" si="6"/>
        <v>3089.88</v>
      </c>
      <c r="I171" s="109">
        <f t="shared" si="7"/>
        <v>3337.0704000000005</v>
      </c>
      <c r="J171" s="34">
        <f t="shared" si="8"/>
        <v>1988.8939584000002</v>
      </c>
      <c r="K171" t="s">
        <v>3247</v>
      </c>
    </row>
    <row r="172" spans="1:11" x14ac:dyDescent="0.25">
      <c r="B172" s="6"/>
      <c r="C172" s="1"/>
      <c r="D172" s="1"/>
      <c r="E172" s="91"/>
      <c r="F172" s="7"/>
      <c r="G172" s="11"/>
      <c r="H172" s="107"/>
      <c r="I172" s="109"/>
      <c r="J172" s="34"/>
    </row>
    <row r="173" spans="1:11" x14ac:dyDescent="0.25">
      <c r="B173" s="6" t="s">
        <v>2140</v>
      </c>
      <c r="C173" s="1" t="s">
        <v>2124</v>
      </c>
      <c r="D173" s="1" t="s">
        <v>1983</v>
      </c>
      <c r="E173" s="91" t="s">
        <v>2394</v>
      </c>
      <c r="F173" s="7" t="s">
        <v>2125</v>
      </c>
      <c r="G173" s="11">
        <v>3048</v>
      </c>
      <c r="H173" s="107">
        <f t="shared" si="6"/>
        <v>3291.84</v>
      </c>
      <c r="I173" s="109">
        <f t="shared" si="7"/>
        <v>3555.1872000000003</v>
      </c>
      <c r="J173" s="34">
        <f t="shared" si="8"/>
        <v>2118.8915712000003</v>
      </c>
      <c r="K173" t="s">
        <v>3247</v>
      </c>
    </row>
    <row r="174" spans="1:11" x14ac:dyDescent="0.25">
      <c r="B174" s="6"/>
      <c r="C174" s="1"/>
      <c r="D174" s="1"/>
      <c r="E174" s="91"/>
      <c r="F174" s="7"/>
      <c r="G174" s="11"/>
      <c r="H174" s="107"/>
      <c r="I174" s="109"/>
      <c r="J174" s="34"/>
    </row>
    <row r="175" spans="1:11" x14ac:dyDescent="0.25">
      <c r="A175" t="s">
        <v>3148</v>
      </c>
      <c r="B175" s="6" t="s">
        <v>2141</v>
      </c>
      <c r="C175" s="1" t="s">
        <v>2127</v>
      </c>
      <c r="D175" s="1" t="s">
        <v>1983</v>
      </c>
      <c r="E175" s="91" t="s">
        <v>2395</v>
      </c>
      <c r="F175" s="7" t="s">
        <v>2125</v>
      </c>
      <c r="G175" s="11">
        <v>3048</v>
      </c>
      <c r="H175" s="107">
        <f t="shared" si="6"/>
        <v>3291.84</v>
      </c>
      <c r="I175" s="109">
        <f t="shared" si="7"/>
        <v>3555.1872000000003</v>
      </c>
      <c r="J175" s="34">
        <f t="shared" si="8"/>
        <v>2118.8915712000003</v>
      </c>
      <c r="K175" t="s">
        <v>3247</v>
      </c>
    </row>
    <row r="176" spans="1:11" x14ac:dyDescent="0.25">
      <c r="B176" s="6"/>
      <c r="C176" s="1"/>
      <c r="D176" s="1"/>
      <c r="E176" s="91"/>
      <c r="F176" s="7"/>
      <c r="G176" s="11"/>
      <c r="H176" s="107"/>
      <c r="I176" s="109"/>
      <c r="J176" s="34"/>
    </row>
    <row r="177" spans="2:11" x14ac:dyDescent="0.25">
      <c r="B177" s="6" t="s">
        <v>2142</v>
      </c>
      <c r="C177" s="1" t="s">
        <v>2129</v>
      </c>
      <c r="D177" s="1" t="s">
        <v>1983</v>
      </c>
      <c r="E177" s="91" t="s">
        <v>2396</v>
      </c>
      <c r="F177" s="7" t="s">
        <v>2130</v>
      </c>
      <c r="G177" s="11">
        <v>3235</v>
      </c>
      <c r="H177" s="107">
        <f t="shared" si="6"/>
        <v>3493.8</v>
      </c>
      <c r="I177" s="109">
        <f t="shared" si="7"/>
        <v>3773.3040000000005</v>
      </c>
      <c r="J177" s="34">
        <f t="shared" si="8"/>
        <v>2248.8891840000001</v>
      </c>
      <c r="K177" t="s">
        <v>3247</v>
      </c>
    </row>
    <row r="178" spans="2:11" x14ac:dyDescent="0.25">
      <c r="B178" s="6"/>
      <c r="C178" s="1"/>
      <c r="D178" s="1"/>
      <c r="E178" s="91"/>
      <c r="F178" s="7"/>
      <c r="G178" s="11"/>
      <c r="H178" s="107"/>
      <c r="I178" s="109"/>
      <c r="J178" s="34"/>
    </row>
    <row r="179" spans="2:11" x14ac:dyDescent="0.25">
      <c r="B179" s="6" t="s">
        <v>2143</v>
      </c>
      <c r="C179" s="1" t="s">
        <v>2121</v>
      </c>
      <c r="D179" s="1" t="s">
        <v>1984</v>
      </c>
      <c r="E179" s="91" t="s">
        <v>2397</v>
      </c>
      <c r="F179" s="7" t="s">
        <v>2122</v>
      </c>
      <c r="G179" s="11">
        <v>2947</v>
      </c>
      <c r="H179" s="107">
        <f t="shared" si="6"/>
        <v>3182.76</v>
      </c>
      <c r="I179" s="109">
        <f t="shared" si="7"/>
        <v>3437.3808000000004</v>
      </c>
      <c r="J179" s="34">
        <f t="shared" si="8"/>
        <v>2048.6789567999999</v>
      </c>
      <c r="K179" t="s">
        <v>3247</v>
      </c>
    </row>
    <row r="180" spans="2:11" x14ac:dyDescent="0.25">
      <c r="B180" s="6"/>
      <c r="C180" s="1"/>
      <c r="D180" s="1"/>
      <c r="E180" s="91"/>
      <c r="F180" s="7"/>
      <c r="G180" s="11"/>
      <c r="H180" s="107"/>
      <c r="I180" s="109"/>
      <c r="J180" s="34"/>
    </row>
    <row r="181" spans="2:11" x14ac:dyDescent="0.25">
      <c r="B181" s="6" t="s">
        <v>2144</v>
      </c>
      <c r="C181" s="1" t="s">
        <v>2124</v>
      </c>
      <c r="D181" s="1" t="s">
        <v>1984</v>
      </c>
      <c r="E181" s="91" t="s">
        <v>2398</v>
      </c>
      <c r="F181" s="7" t="s">
        <v>2125</v>
      </c>
      <c r="G181" s="11">
        <v>3136</v>
      </c>
      <c r="H181" s="107">
        <f t="shared" si="6"/>
        <v>3386.88</v>
      </c>
      <c r="I181" s="109">
        <f t="shared" si="7"/>
        <v>3657.8304000000003</v>
      </c>
      <c r="J181" s="34">
        <f t="shared" si="8"/>
        <v>2180.0669183999998</v>
      </c>
      <c r="K181" t="s">
        <v>3247</v>
      </c>
    </row>
    <row r="182" spans="2:11" x14ac:dyDescent="0.25">
      <c r="B182" s="6"/>
      <c r="C182" s="1"/>
      <c r="D182" s="1"/>
      <c r="E182" s="91"/>
      <c r="F182" s="7"/>
      <c r="G182" s="11"/>
      <c r="H182" s="107"/>
      <c r="I182" s="109"/>
      <c r="J182" s="34"/>
    </row>
    <row r="183" spans="2:11" x14ac:dyDescent="0.25">
      <c r="B183" s="6" t="s">
        <v>2145</v>
      </c>
      <c r="C183" s="1" t="s">
        <v>2127</v>
      </c>
      <c r="D183" s="1" t="s">
        <v>1984</v>
      </c>
      <c r="E183" s="91" t="s">
        <v>2399</v>
      </c>
      <c r="F183" s="7" t="s">
        <v>2125</v>
      </c>
      <c r="G183" s="11">
        <v>3136</v>
      </c>
      <c r="H183" s="107">
        <f t="shared" si="6"/>
        <v>3386.88</v>
      </c>
      <c r="I183" s="109">
        <f t="shared" si="7"/>
        <v>3657.8304000000003</v>
      </c>
      <c r="J183" s="34">
        <f t="shared" si="8"/>
        <v>2180.0669183999998</v>
      </c>
      <c r="K183" t="s">
        <v>3247</v>
      </c>
    </row>
    <row r="184" spans="2:11" x14ac:dyDescent="0.25">
      <c r="B184" s="6"/>
      <c r="C184" s="1"/>
      <c r="D184" s="1"/>
      <c r="E184" s="91"/>
      <c r="F184" s="7"/>
      <c r="G184" s="11"/>
      <c r="H184" s="107"/>
      <c r="I184" s="109"/>
      <c r="J184" s="34"/>
    </row>
    <row r="185" spans="2:11" x14ac:dyDescent="0.25">
      <c r="B185" s="6" t="s">
        <v>2146</v>
      </c>
      <c r="C185" s="1" t="s">
        <v>2129</v>
      </c>
      <c r="D185" s="1" t="s">
        <v>1984</v>
      </c>
      <c r="E185" s="91" t="s">
        <v>2400</v>
      </c>
      <c r="F185" s="7" t="s">
        <v>2130</v>
      </c>
      <c r="G185" s="11">
        <v>3325</v>
      </c>
      <c r="H185" s="107">
        <f t="shared" si="6"/>
        <v>3591.0000000000005</v>
      </c>
      <c r="I185" s="109">
        <f t="shared" si="7"/>
        <v>3878.2800000000007</v>
      </c>
      <c r="J185" s="34">
        <f t="shared" si="8"/>
        <v>2311.4548800000002</v>
      </c>
      <c r="K185" t="s">
        <v>3247</v>
      </c>
    </row>
    <row r="186" spans="2:11" x14ac:dyDescent="0.25">
      <c r="B186" s="6"/>
      <c r="C186" s="1"/>
      <c r="D186" s="1"/>
      <c r="E186" s="91"/>
      <c r="F186" s="7"/>
      <c r="G186" s="11"/>
      <c r="H186" s="107"/>
      <c r="I186" s="109"/>
      <c r="J186" s="34"/>
    </row>
    <row r="187" spans="2:11" x14ac:dyDescent="0.25">
      <c r="B187" s="6" t="s">
        <v>2147</v>
      </c>
      <c r="C187" s="1" t="s">
        <v>2121</v>
      </c>
      <c r="D187" s="1" t="s">
        <v>1985</v>
      </c>
      <c r="E187" s="91" t="s">
        <v>2401</v>
      </c>
      <c r="F187" s="7" t="s">
        <v>2122</v>
      </c>
      <c r="G187" s="11">
        <v>3191</v>
      </c>
      <c r="H187" s="107">
        <f t="shared" si="6"/>
        <v>3446.28</v>
      </c>
      <c r="I187" s="109">
        <f t="shared" si="7"/>
        <v>3721.9824000000003</v>
      </c>
      <c r="J187" s="34">
        <f t="shared" si="8"/>
        <v>2218.3015104000001</v>
      </c>
      <c r="K187" t="s">
        <v>3247</v>
      </c>
    </row>
    <row r="188" spans="2:11" x14ac:dyDescent="0.25">
      <c r="B188" s="6"/>
      <c r="C188" s="1"/>
      <c r="D188" s="1"/>
      <c r="E188" s="91"/>
      <c r="F188" s="7"/>
      <c r="G188" s="11"/>
      <c r="H188" s="107"/>
      <c r="I188" s="109"/>
      <c r="J188" s="34"/>
    </row>
    <row r="189" spans="2:11" x14ac:dyDescent="0.25">
      <c r="B189" s="6" t="s">
        <v>2148</v>
      </c>
      <c r="C189" s="1" t="s">
        <v>2124</v>
      </c>
      <c r="D189" s="1" t="s">
        <v>1985</v>
      </c>
      <c r="E189" s="91" t="s">
        <v>2402</v>
      </c>
      <c r="F189" s="7" t="s">
        <v>2125</v>
      </c>
      <c r="G189" s="11">
        <v>3386</v>
      </c>
      <c r="H189" s="107">
        <f t="shared" si="6"/>
        <v>3656.88</v>
      </c>
      <c r="I189" s="109">
        <f t="shared" si="7"/>
        <v>3949.4304000000002</v>
      </c>
      <c r="J189" s="34">
        <f t="shared" si="8"/>
        <v>2353.8605183999998</v>
      </c>
      <c r="K189" t="s">
        <v>3247</v>
      </c>
    </row>
    <row r="190" spans="2:11" x14ac:dyDescent="0.25">
      <c r="B190" s="6"/>
      <c r="C190" s="1"/>
      <c r="D190" s="1"/>
      <c r="E190" s="91"/>
      <c r="F190" s="7"/>
      <c r="G190" s="11"/>
      <c r="H190" s="107"/>
      <c r="I190" s="109"/>
      <c r="J190" s="34"/>
    </row>
    <row r="191" spans="2:11" x14ac:dyDescent="0.25">
      <c r="B191" s="6" t="s">
        <v>2149</v>
      </c>
      <c r="C191" s="1" t="s">
        <v>2127</v>
      </c>
      <c r="D191" s="1" t="s">
        <v>1985</v>
      </c>
      <c r="E191" s="91" t="s">
        <v>2403</v>
      </c>
      <c r="F191" s="7" t="s">
        <v>2125</v>
      </c>
      <c r="G191" s="11">
        <v>3386</v>
      </c>
      <c r="H191" s="107">
        <f t="shared" si="6"/>
        <v>3656.88</v>
      </c>
      <c r="I191" s="109">
        <f t="shared" si="7"/>
        <v>3949.4304000000002</v>
      </c>
      <c r="J191" s="34">
        <f t="shared" si="8"/>
        <v>2353.8605183999998</v>
      </c>
      <c r="K191" t="s">
        <v>3247</v>
      </c>
    </row>
    <row r="192" spans="2:11" x14ac:dyDescent="0.25">
      <c r="B192" s="6"/>
      <c r="C192" s="1"/>
      <c r="D192" s="1"/>
      <c r="E192" s="91"/>
      <c r="F192" s="7"/>
      <c r="G192" s="11"/>
      <c r="H192" s="107"/>
      <c r="I192" s="109"/>
      <c r="J192" s="34"/>
    </row>
    <row r="193" spans="2:11" x14ac:dyDescent="0.25">
      <c r="B193" s="6" t="s">
        <v>2150</v>
      </c>
      <c r="C193" s="1" t="s">
        <v>2129</v>
      </c>
      <c r="D193" s="1" t="s">
        <v>1985</v>
      </c>
      <c r="E193" s="91" t="s">
        <v>2404</v>
      </c>
      <c r="F193" s="7" t="s">
        <v>2130</v>
      </c>
      <c r="G193" s="11">
        <v>3715</v>
      </c>
      <c r="H193" s="107">
        <f t="shared" si="6"/>
        <v>4012.2000000000003</v>
      </c>
      <c r="I193" s="109">
        <f t="shared" si="7"/>
        <v>4333.1760000000004</v>
      </c>
      <c r="J193" s="34">
        <f t="shared" si="8"/>
        <v>2582.5728960000001</v>
      </c>
      <c r="K193" t="s">
        <v>3247</v>
      </c>
    </row>
    <row r="194" spans="2:11" x14ac:dyDescent="0.25">
      <c r="C194" s="7"/>
      <c r="D194" s="7"/>
      <c r="E194" s="92"/>
      <c r="F194" s="7"/>
      <c r="G194" s="11"/>
      <c r="H194" s="107"/>
      <c r="I194" s="109"/>
      <c r="J194" s="7"/>
    </row>
    <row r="195" spans="2:11" x14ac:dyDescent="0.25">
      <c r="B195" s="6" t="s">
        <v>2151</v>
      </c>
      <c r="C195" s="1" t="s">
        <v>2121</v>
      </c>
      <c r="D195" s="1" t="s">
        <v>1940</v>
      </c>
      <c r="E195" s="91" t="s">
        <v>2405</v>
      </c>
      <c r="F195" s="7" t="s">
        <v>2122</v>
      </c>
      <c r="G195" s="11">
        <v>2665</v>
      </c>
      <c r="H195" s="107">
        <f t="shared" si="6"/>
        <v>2878.2000000000003</v>
      </c>
      <c r="I195" s="109">
        <f t="shared" si="7"/>
        <v>3108.4560000000006</v>
      </c>
      <c r="J195" s="34">
        <f t="shared" ref="J195:J241" si="9">I195*0.596</f>
        <v>1852.6397760000002</v>
      </c>
      <c r="K195" t="s">
        <v>3247</v>
      </c>
    </row>
    <row r="196" spans="2:11" x14ac:dyDescent="0.25">
      <c r="B196" s="6"/>
      <c r="C196" s="1"/>
      <c r="D196" s="1"/>
      <c r="E196" s="91"/>
      <c r="F196" s="7"/>
      <c r="G196" s="11"/>
      <c r="H196" s="107"/>
      <c r="I196" s="109"/>
      <c r="J196" s="34"/>
    </row>
    <row r="197" spans="2:11" x14ac:dyDescent="0.25">
      <c r="B197" s="6" t="s">
        <v>2152</v>
      </c>
      <c r="C197" s="1" t="s">
        <v>2124</v>
      </c>
      <c r="D197" s="1" t="s">
        <v>1940</v>
      </c>
      <c r="E197" s="91" t="s">
        <v>2406</v>
      </c>
      <c r="F197" s="7" t="s">
        <v>2125</v>
      </c>
      <c r="G197" s="11">
        <v>2847</v>
      </c>
      <c r="H197" s="107">
        <f t="shared" ref="H197:H259" si="10">G197*1.08</f>
        <v>3074.76</v>
      </c>
      <c r="I197" s="109">
        <f t="shared" ref="I197:I259" si="11">H197*1.08</f>
        <v>3320.7408000000005</v>
      </c>
      <c r="J197" s="34">
        <f t="shared" si="9"/>
        <v>1979.1615168000003</v>
      </c>
      <c r="K197" t="s">
        <v>3247</v>
      </c>
    </row>
    <row r="198" spans="2:11" x14ac:dyDescent="0.25">
      <c r="B198" s="6"/>
      <c r="C198" s="1"/>
      <c r="D198" s="1"/>
      <c r="E198" s="91"/>
      <c r="F198" s="7"/>
      <c r="G198" s="11"/>
      <c r="H198" s="107"/>
      <c r="I198" s="109"/>
      <c r="J198" s="34"/>
    </row>
    <row r="199" spans="2:11" x14ac:dyDescent="0.25">
      <c r="B199" s="6" t="s">
        <v>2153</v>
      </c>
      <c r="C199" s="1" t="s">
        <v>2127</v>
      </c>
      <c r="D199" s="1" t="s">
        <v>1940</v>
      </c>
      <c r="E199" s="91" t="s">
        <v>2407</v>
      </c>
      <c r="F199" s="7" t="s">
        <v>2125</v>
      </c>
      <c r="G199" s="11">
        <v>2847</v>
      </c>
      <c r="H199" s="107">
        <f t="shared" si="10"/>
        <v>3074.76</v>
      </c>
      <c r="I199" s="109">
        <f t="shared" si="11"/>
        <v>3320.7408000000005</v>
      </c>
      <c r="J199" s="34">
        <f t="shared" si="9"/>
        <v>1979.1615168000003</v>
      </c>
      <c r="K199" t="s">
        <v>3247</v>
      </c>
    </row>
    <row r="200" spans="2:11" x14ac:dyDescent="0.25">
      <c r="B200" s="6"/>
      <c r="C200" s="1"/>
      <c r="D200" s="1"/>
      <c r="E200" s="91"/>
      <c r="F200" s="7"/>
      <c r="G200" s="11"/>
      <c r="H200" s="107"/>
      <c r="I200" s="109"/>
      <c r="J200" s="34"/>
    </row>
    <row r="201" spans="2:11" x14ac:dyDescent="0.25">
      <c r="B201" s="6" t="s">
        <v>2154</v>
      </c>
      <c r="C201" s="1" t="s">
        <v>2129</v>
      </c>
      <c r="D201" s="1" t="s">
        <v>1940</v>
      </c>
      <c r="E201" s="91" t="s">
        <v>2408</v>
      </c>
      <c r="F201" s="7" t="s">
        <v>2130</v>
      </c>
      <c r="G201" s="11">
        <v>3030</v>
      </c>
      <c r="H201" s="107">
        <f t="shared" si="10"/>
        <v>3272.4</v>
      </c>
      <c r="I201" s="109">
        <f t="shared" si="11"/>
        <v>3534.1920000000005</v>
      </c>
      <c r="J201" s="34">
        <f t="shared" si="9"/>
        <v>2106.378432</v>
      </c>
      <c r="K201" t="s">
        <v>3247</v>
      </c>
    </row>
    <row r="202" spans="2:11" x14ac:dyDescent="0.25">
      <c r="B202" s="6"/>
      <c r="C202" s="1"/>
      <c r="D202" s="1"/>
      <c r="E202" s="91"/>
      <c r="F202" s="7"/>
      <c r="G202" s="11"/>
      <c r="H202" s="107"/>
      <c r="I202" s="109"/>
      <c r="J202" s="34"/>
    </row>
    <row r="203" spans="2:11" x14ac:dyDescent="0.25">
      <c r="B203" s="6" t="s">
        <v>2155</v>
      </c>
      <c r="C203" s="1" t="s">
        <v>2121</v>
      </c>
      <c r="D203" s="1" t="s">
        <v>1941</v>
      </c>
      <c r="E203" s="91" t="s">
        <v>2409</v>
      </c>
      <c r="F203" s="7" t="s">
        <v>2122</v>
      </c>
      <c r="G203" s="11">
        <v>2747</v>
      </c>
      <c r="H203" s="107">
        <f t="shared" si="10"/>
        <v>2966.76</v>
      </c>
      <c r="I203" s="109">
        <f t="shared" si="11"/>
        <v>3204.1008000000006</v>
      </c>
      <c r="J203" s="34">
        <f t="shared" si="9"/>
        <v>1909.6440768000002</v>
      </c>
      <c r="K203" t="s">
        <v>3247</v>
      </c>
    </row>
    <row r="204" spans="2:11" x14ac:dyDescent="0.25">
      <c r="B204" s="6"/>
      <c r="C204" s="1"/>
      <c r="D204" s="1"/>
      <c r="E204" s="91"/>
      <c r="F204" s="7"/>
      <c r="G204" s="11"/>
      <c r="H204" s="107"/>
      <c r="I204" s="109"/>
      <c r="J204" s="34"/>
    </row>
    <row r="205" spans="2:11" x14ac:dyDescent="0.25">
      <c r="B205" s="6" t="s">
        <v>2156</v>
      </c>
      <c r="C205" s="1" t="s">
        <v>2124</v>
      </c>
      <c r="D205" s="1" t="s">
        <v>1941</v>
      </c>
      <c r="E205" s="91" t="s">
        <v>2410</v>
      </c>
      <c r="F205" s="7" t="s">
        <v>2125</v>
      </c>
      <c r="G205" s="11">
        <v>2932</v>
      </c>
      <c r="H205" s="107">
        <f t="shared" si="10"/>
        <v>3166.5600000000004</v>
      </c>
      <c r="I205" s="109">
        <f t="shared" si="11"/>
        <v>3419.8848000000007</v>
      </c>
      <c r="J205" s="34">
        <f t="shared" si="9"/>
        <v>2038.2513408000004</v>
      </c>
      <c r="K205" t="s">
        <v>3247</v>
      </c>
    </row>
    <row r="206" spans="2:11" x14ac:dyDescent="0.25">
      <c r="B206" s="6"/>
      <c r="C206" s="1"/>
      <c r="D206" s="1"/>
      <c r="E206" s="91"/>
      <c r="F206" s="7"/>
      <c r="G206" s="11"/>
      <c r="H206" s="107"/>
      <c r="I206" s="109"/>
      <c r="J206" s="34"/>
    </row>
    <row r="207" spans="2:11" x14ac:dyDescent="0.25">
      <c r="B207" s="6" t="s">
        <v>2157</v>
      </c>
      <c r="C207" s="1" t="s">
        <v>2127</v>
      </c>
      <c r="D207" s="1" t="s">
        <v>1941</v>
      </c>
      <c r="E207" s="91" t="s">
        <v>2411</v>
      </c>
      <c r="F207" s="7" t="s">
        <v>2125</v>
      </c>
      <c r="G207" s="11">
        <v>2932</v>
      </c>
      <c r="H207" s="107">
        <f t="shared" si="10"/>
        <v>3166.5600000000004</v>
      </c>
      <c r="I207" s="109">
        <f t="shared" si="11"/>
        <v>3419.8848000000007</v>
      </c>
      <c r="J207" s="34">
        <f t="shared" si="9"/>
        <v>2038.2513408000004</v>
      </c>
      <c r="K207" t="s">
        <v>3247</v>
      </c>
    </row>
    <row r="208" spans="2:11" x14ac:dyDescent="0.25">
      <c r="B208" s="6"/>
      <c r="C208" s="1"/>
      <c r="D208" s="1"/>
      <c r="E208" s="91"/>
      <c r="F208" s="7"/>
      <c r="G208" s="11"/>
      <c r="H208" s="107"/>
      <c r="I208" s="109"/>
      <c r="J208" s="34"/>
    </row>
    <row r="209" spans="1:11" x14ac:dyDescent="0.25">
      <c r="B209" s="6" t="s">
        <v>2158</v>
      </c>
      <c r="C209" s="1" t="s">
        <v>2129</v>
      </c>
      <c r="D209" s="1" t="s">
        <v>1941</v>
      </c>
      <c r="E209" s="91" t="s">
        <v>2412</v>
      </c>
      <c r="F209" s="7" t="s">
        <v>2130</v>
      </c>
      <c r="G209" s="11">
        <v>3149</v>
      </c>
      <c r="H209" s="107">
        <f t="shared" si="10"/>
        <v>3400.92</v>
      </c>
      <c r="I209" s="109">
        <f t="shared" si="11"/>
        <v>3672.9936000000002</v>
      </c>
      <c r="J209" s="34">
        <f t="shared" si="9"/>
        <v>2189.1041856000002</v>
      </c>
      <c r="K209" t="s">
        <v>3247</v>
      </c>
    </row>
    <row r="210" spans="1:11" x14ac:dyDescent="0.25">
      <c r="B210" s="6"/>
      <c r="C210" s="1"/>
      <c r="D210" s="1"/>
      <c r="E210" s="91"/>
      <c r="F210" s="7"/>
      <c r="G210" s="11"/>
      <c r="H210" s="107"/>
      <c r="I210" s="109"/>
      <c r="J210" s="34"/>
    </row>
    <row r="211" spans="1:11" x14ac:dyDescent="0.25">
      <c r="A211" t="s">
        <v>3147</v>
      </c>
      <c r="B211" s="6" t="s">
        <v>2159</v>
      </c>
      <c r="C211" s="1" t="s">
        <v>2121</v>
      </c>
      <c r="D211" s="1" t="s">
        <v>1942</v>
      </c>
      <c r="E211" s="91" t="s">
        <v>2413</v>
      </c>
      <c r="F211" s="7" t="s">
        <v>2122</v>
      </c>
      <c r="G211" s="11">
        <v>2833</v>
      </c>
      <c r="H211" s="107">
        <f t="shared" si="10"/>
        <v>3059.6400000000003</v>
      </c>
      <c r="I211" s="109">
        <f t="shared" si="11"/>
        <v>3304.4112000000005</v>
      </c>
      <c r="J211" s="34">
        <f t="shared" si="9"/>
        <v>1969.4290752000002</v>
      </c>
      <c r="K211" t="s">
        <v>3247</v>
      </c>
    </row>
    <row r="212" spans="1:11" x14ac:dyDescent="0.25">
      <c r="B212" s="6"/>
      <c r="C212" s="1"/>
      <c r="D212" s="1"/>
      <c r="E212" s="91"/>
      <c r="F212" s="7"/>
      <c r="G212" s="11"/>
      <c r="H212" s="107"/>
      <c r="I212" s="109"/>
      <c r="J212" s="34"/>
    </row>
    <row r="213" spans="1:11" x14ac:dyDescent="0.25">
      <c r="B213" s="6" t="s">
        <v>2160</v>
      </c>
      <c r="C213" s="1" t="s">
        <v>2124</v>
      </c>
      <c r="D213" s="1" t="s">
        <v>1942</v>
      </c>
      <c r="E213" s="91" t="s">
        <v>2414</v>
      </c>
      <c r="F213" s="7" t="s">
        <v>2125</v>
      </c>
      <c r="G213" s="11">
        <v>3019</v>
      </c>
      <c r="H213" s="107">
        <f t="shared" si="10"/>
        <v>3260.5200000000004</v>
      </c>
      <c r="I213" s="109">
        <f t="shared" si="11"/>
        <v>3521.3616000000006</v>
      </c>
      <c r="J213" s="34">
        <f t="shared" si="9"/>
        <v>2098.7315136000002</v>
      </c>
      <c r="K213" t="s">
        <v>3247</v>
      </c>
    </row>
    <row r="214" spans="1:11" x14ac:dyDescent="0.25">
      <c r="B214" s="6"/>
      <c r="C214" s="1"/>
      <c r="D214" s="1"/>
      <c r="E214" s="91"/>
      <c r="F214" s="7"/>
      <c r="G214" s="11"/>
      <c r="H214" s="107"/>
      <c r="I214" s="109"/>
      <c r="J214" s="34"/>
    </row>
    <row r="215" spans="1:11" x14ac:dyDescent="0.25">
      <c r="B215" s="6" t="s">
        <v>2161</v>
      </c>
      <c r="C215" s="1" t="s">
        <v>2127</v>
      </c>
      <c r="D215" s="1" t="s">
        <v>1942</v>
      </c>
      <c r="E215" s="91" t="s">
        <v>2415</v>
      </c>
      <c r="F215" s="7" t="s">
        <v>2125</v>
      </c>
      <c r="G215" s="11">
        <v>3019</v>
      </c>
      <c r="H215" s="107">
        <f t="shared" si="10"/>
        <v>3260.5200000000004</v>
      </c>
      <c r="I215" s="109">
        <f t="shared" si="11"/>
        <v>3521.3616000000006</v>
      </c>
      <c r="J215" s="34">
        <f t="shared" si="9"/>
        <v>2098.7315136000002</v>
      </c>
      <c r="K215" t="s">
        <v>3247</v>
      </c>
    </row>
    <row r="216" spans="1:11" x14ac:dyDescent="0.25">
      <c r="B216" s="6"/>
      <c r="C216" s="1"/>
      <c r="D216" s="1"/>
      <c r="E216" s="91"/>
      <c r="F216" s="7"/>
      <c r="G216" s="11"/>
      <c r="H216" s="107"/>
      <c r="I216" s="109"/>
      <c r="J216" s="34"/>
    </row>
    <row r="217" spans="1:11" x14ac:dyDescent="0.25">
      <c r="B217" s="6" t="s">
        <v>2162</v>
      </c>
      <c r="C217" s="1" t="s">
        <v>2129</v>
      </c>
      <c r="D217" s="1" t="s">
        <v>1942</v>
      </c>
      <c r="E217" s="91" t="s">
        <v>2416</v>
      </c>
      <c r="F217" s="7" t="s">
        <v>2130</v>
      </c>
      <c r="G217" s="11">
        <v>3205</v>
      </c>
      <c r="H217" s="107">
        <f t="shared" si="10"/>
        <v>3461.4</v>
      </c>
      <c r="I217" s="109">
        <f t="shared" si="11"/>
        <v>3738.3120000000004</v>
      </c>
      <c r="J217" s="34">
        <f t="shared" si="9"/>
        <v>2228.0339520000002</v>
      </c>
      <c r="K217" t="s">
        <v>3247</v>
      </c>
    </row>
    <row r="218" spans="1:11" x14ac:dyDescent="0.25">
      <c r="B218" s="6"/>
      <c r="C218" s="1"/>
      <c r="D218" s="1"/>
      <c r="E218" s="91"/>
      <c r="F218" s="7"/>
      <c r="G218" s="11"/>
      <c r="H218" s="107"/>
      <c r="I218" s="109"/>
      <c r="J218" s="34"/>
    </row>
    <row r="219" spans="1:11" x14ac:dyDescent="0.25">
      <c r="B219" s="6" t="s">
        <v>2163</v>
      </c>
      <c r="C219" s="1" t="s">
        <v>2121</v>
      </c>
      <c r="D219" s="1" t="s">
        <v>2094</v>
      </c>
      <c r="E219" s="91" t="s">
        <v>488</v>
      </c>
      <c r="F219" s="7" t="s">
        <v>2122</v>
      </c>
      <c r="G219" s="11">
        <v>3205</v>
      </c>
      <c r="H219" s="107">
        <f t="shared" si="10"/>
        <v>3461.4</v>
      </c>
      <c r="I219" s="109">
        <f t="shared" si="11"/>
        <v>3738.3120000000004</v>
      </c>
      <c r="J219" s="34">
        <f t="shared" si="9"/>
        <v>2228.0339520000002</v>
      </c>
      <c r="K219" t="s">
        <v>3247</v>
      </c>
    </row>
    <row r="220" spans="1:11" x14ac:dyDescent="0.25">
      <c r="B220" s="6"/>
      <c r="C220" s="1"/>
      <c r="D220" s="1"/>
      <c r="E220" s="91"/>
      <c r="F220" s="7"/>
      <c r="G220" s="11"/>
      <c r="H220" s="107"/>
      <c r="I220" s="109"/>
      <c r="J220" s="34"/>
    </row>
    <row r="221" spans="1:11" x14ac:dyDescent="0.25">
      <c r="B221" s="6" t="s">
        <v>2164</v>
      </c>
      <c r="C221" s="1" t="s">
        <v>2124</v>
      </c>
      <c r="D221" s="1" t="s">
        <v>2094</v>
      </c>
      <c r="E221" s="91" t="s">
        <v>2417</v>
      </c>
      <c r="F221" s="7" t="s">
        <v>2125</v>
      </c>
      <c r="G221" s="11">
        <v>3108</v>
      </c>
      <c r="H221" s="107">
        <f t="shared" si="10"/>
        <v>3356.6400000000003</v>
      </c>
      <c r="I221" s="109">
        <f t="shared" si="11"/>
        <v>3625.1712000000007</v>
      </c>
      <c r="J221" s="34">
        <f t="shared" si="9"/>
        <v>2160.6020352000005</v>
      </c>
      <c r="K221" t="s">
        <v>3247</v>
      </c>
    </row>
    <row r="222" spans="1:11" x14ac:dyDescent="0.25">
      <c r="B222" s="6"/>
      <c r="C222" s="1"/>
      <c r="D222" s="1"/>
      <c r="E222" s="91"/>
      <c r="F222" s="7"/>
      <c r="G222" s="11"/>
      <c r="H222" s="107"/>
      <c r="I222" s="109"/>
      <c r="J222" s="34"/>
    </row>
    <row r="223" spans="1:11" x14ac:dyDescent="0.25">
      <c r="B223" s="6" t="s">
        <v>2165</v>
      </c>
      <c r="C223" s="1" t="s">
        <v>2127</v>
      </c>
      <c r="D223" s="1" t="s">
        <v>2094</v>
      </c>
      <c r="E223" s="91" t="s">
        <v>2418</v>
      </c>
      <c r="F223" s="7" t="s">
        <v>2125</v>
      </c>
      <c r="G223" s="11">
        <v>3108</v>
      </c>
      <c r="H223" s="107">
        <f t="shared" si="10"/>
        <v>3356.6400000000003</v>
      </c>
      <c r="I223" s="109">
        <f t="shared" si="11"/>
        <v>3625.1712000000007</v>
      </c>
      <c r="J223" s="34">
        <f t="shared" si="9"/>
        <v>2160.6020352000005</v>
      </c>
      <c r="K223" t="s">
        <v>3247</v>
      </c>
    </row>
    <row r="224" spans="1:11" x14ac:dyDescent="0.25">
      <c r="B224" s="6"/>
      <c r="C224" s="1"/>
      <c r="D224" s="1"/>
      <c r="E224" s="91"/>
      <c r="F224" s="7"/>
      <c r="G224" s="11"/>
      <c r="H224" s="107"/>
      <c r="I224" s="109"/>
      <c r="J224" s="34"/>
    </row>
    <row r="225" spans="2:11" x14ac:dyDescent="0.25">
      <c r="B225" s="6" t="s">
        <v>2166</v>
      </c>
      <c r="C225" s="1" t="s">
        <v>2129</v>
      </c>
      <c r="D225" s="1" t="s">
        <v>2094</v>
      </c>
      <c r="E225" s="91" t="s">
        <v>489</v>
      </c>
      <c r="F225" s="7" t="s">
        <v>2130</v>
      </c>
      <c r="G225" s="11">
        <v>3296</v>
      </c>
      <c r="H225" s="107">
        <f t="shared" si="10"/>
        <v>3559.6800000000003</v>
      </c>
      <c r="I225" s="109">
        <f t="shared" si="11"/>
        <v>3844.4544000000005</v>
      </c>
      <c r="J225" s="34">
        <f t="shared" si="9"/>
        <v>2291.2948224000002</v>
      </c>
      <c r="K225" t="s">
        <v>3247</v>
      </c>
    </row>
    <row r="226" spans="2:11" x14ac:dyDescent="0.25">
      <c r="B226" s="6"/>
      <c r="C226" s="1"/>
      <c r="D226" s="1"/>
      <c r="E226" s="91"/>
      <c r="F226" s="7"/>
      <c r="G226" s="11"/>
      <c r="H226" s="107"/>
      <c r="I226" s="109"/>
      <c r="J226" s="34"/>
    </row>
    <row r="227" spans="2:11" x14ac:dyDescent="0.25">
      <c r="B227" s="6" t="s">
        <v>2167</v>
      </c>
      <c r="C227" s="1" t="s">
        <v>2121</v>
      </c>
      <c r="D227" s="1" t="s">
        <v>2099</v>
      </c>
      <c r="E227" s="91" t="s">
        <v>2419</v>
      </c>
      <c r="F227" s="7" t="s">
        <v>2122</v>
      </c>
      <c r="G227" s="11">
        <v>3007</v>
      </c>
      <c r="H227" s="107">
        <f t="shared" si="10"/>
        <v>3247.5600000000004</v>
      </c>
      <c r="I227" s="109">
        <f t="shared" si="11"/>
        <v>3507.3648000000007</v>
      </c>
      <c r="J227" s="34">
        <f t="shared" si="9"/>
        <v>2090.3894208000002</v>
      </c>
      <c r="K227" t="s">
        <v>3247</v>
      </c>
    </row>
    <row r="228" spans="2:11" x14ac:dyDescent="0.25">
      <c r="B228" s="6"/>
      <c r="C228" s="1"/>
      <c r="D228" s="1"/>
      <c r="E228" s="91"/>
      <c r="F228" s="7"/>
      <c r="G228" s="11"/>
      <c r="H228" s="107"/>
      <c r="I228" s="109"/>
      <c r="J228" s="34"/>
    </row>
    <row r="229" spans="2:11" x14ac:dyDescent="0.25">
      <c r="B229" s="6" t="s">
        <v>2168</v>
      </c>
      <c r="C229" s="1" t="s">
        <v>2124</v>
      </c>
      <c r="D229" s="1" t="s">
        <v>2099</v>
      </c>
      <c r="E229" s="91" t="s">
        <v>2420</v>
      </c>
      <c r="F229" s="7" t="s">
        <v>2125</v>
      </c>
      <c r="G229" s="11">
        <v>3187</v>
      </c>
      <c r="H229" s="107">
        <f t="shared" si="10"/>
        <v>3441.96</v>
      </c>
      <c r="I229" s="109">
        <f t="shared" si="11"/>
        <v>3717.3168000000001</v>
      </c>
      <c r="J229" s="34">
        <f t="shared" si="9"/>
        <v>2215.5208127999999</v>
      </c>
      <c r="K229" t="s">
        <v>3247</v>
      </c>
    </row>
    <row r="230" spans="2:11" x14ac:dyDescent="0.25">
      <c r="B230" s="6"/>
      <c r="C230" s="1"/>
      <c r="D230" s="1"/>
      <c r="E230" s="91"/>
      <c r="F230" s="7"/>
      <c r="G230" s="11"/>
      <c r="H230" s="107"/>
      <c r="I230" s="109"/>
      <c r="J230" s="34"/>
    </row>
    <row r="231" spans="2:11" x14ac:dyDescent="0.25">
      <c r="B231" s="6" t="s">
        <v>2169</v>
      </c>
      <c r="C231" s="1" t="s">
        <v>2127</v>
      </c>
      <c r="D231" s="1" t="s">
        <v>2099</v>
      </c>
      <c r="E231" s="91" t="s">
        <v>2421</v>
      </c>
      <c r="F231" s="7" t="s">
        <v>2125</v>
      </c>
      <c r="G231" s="11">
        <v>3187</v>
      </c>
      <c r="H231" s="107">
        <f t="shared" si="10"/>
        <v>3441.96</v>
      </c>
      <c r="I231" s="109">
        <f t="shared" si="11"/>
        <v>3717.3168000000001</v>
      </c>
      <c r="J231" s="34">
        <f t="shared" si="9"/>
        <v>2215.5208127999999</v>
      </c>
      <c r="K231" t="s">
        <v>3247</v>
      </c>
    </row>
    <row r="232" spans="2:11" x14ac:dyDescent="0.25">
      <c r="B232" s="6"/>
      <c r="C232" s="1"/>
      <c r="D232" s="1"/>
      <c r="E232" s="91"/>
      <c r="F232" s="7"/>
      <c r="G232" s="11"/>
      <c r="H232" s="107"/>
      <c r="I232" s="109"/>
      <c r="J232" s="34"/>
    </row>
    <row r="233" spans="2:11" ht="15.75" customHeight="1" x14ac:dyDescent="0.25">
      <c r="B233" s="6" t="s">
        <v>2170</v>
      </c>
      <c r="C233" s="1" t="s">
        <v>2129</v>
      </c>
      <c r="D233" s="1" t="s">
        <v>2099</v>
      </c>
      <c r="E233" s="91" t="s">
        <v>2422</v>
      </c>
      <c r="F233" s="7" t="s">
        <v>2130</v>
      </c>
      <c r="G233" s="11">
        <v>3387</v>
      </c>
      <c r="H233" s="107">
        <f t="shared" si="10"/>
        <v>3657.96</v>
      </c>
      <c r="I233" s="109">
        <f t="shared" si="11"/>
        <v>3950.5968000000003</v>
      </c>
      <c r="J233" s="34">
        <f t="shared" si="9"/>
        <v>2354.5556928000001</v>
      </c>
      <c r="K233" t="s">
        <v>3247</v>
      </c>
    </row>
    <row r="234" spans="2:11" ht="15.75" customHeight="1" x14ac:dyDescent="0.25">
      <c r="B234" s="6"/>
      <c r="C234" s="1"/>
      <c r="D234" s="1"/>
      <c r="E234" s="91"/>
      <c r="F234" s="7"/>
      <c r="G234" s="11"/>
      <c r="H234" s="107"/>
      <c r="I234" s="109"/>
      <c r="J234" s="34"/>
    </row>
    <row r="235" spans="2:11" x14ac:dyDescent="0.25">
      <c r="B235" s="6" t="s">
        <v>2171</v>
      </c>
      <c r="C235" s="1" t="s">
        <v>2121</v>
      </c>
      <c r="D235" s="1" t="s">
        <v>2104</v>
      </c>
      <c r="E235" s="91" t="s">
        <v>2423</v>
      </c>
      <c r="F235" s="7" t="s">
        <v>2122</v>
      </c>
      <c r="G235" s="11">
        <v>3256</v>
      </c>
      <c r="H235" s="107">
        <f t="shared" si="10"/>
        <v>3516.48</v>
      </c>
      <c r="I235" s="109">
        <f t="shared" si="11"/>
        <v>3797.7984000000001</v>
      </c>
      <c r="J235" s="34">
        <f t="shared" si="9"/>
        <v>2263.4878463999999</v>
      </c>
      <c r="K235" t="s">
        <v>3247</v>
      </c>
    </row>
    <row r="236" spans="2:11" x14ac:dyDescent="0.25">
      <c r="B236" s="6"/>
      <c r="C236" s="1"/>
      <c r="D236" s="1"/>
      <c r="E236" s="91"/>
      <c r="F236" s="7"/>
      <c r="G236" s="11"/>
      <c r="H236" s="107"/>
      <c r="I236" s="109"/>
      <c r="J236" s="34"/>
    </row>
    <row r="237" spans="2:11" x14ac:dyDescent="0.25">
      <c r="B237" s="6" t="s">
        <v>2172</v>
      </c>
      <c r="C237" s="1" t="s">
        <v>2124</v>
      </c>
      <c r="D237" s="1" t="s">
        <v>2104</v>
      </c>
      <c r="E237" s="91" t="s">
        <v>2424</v>
      </c>
      <c r="F237" s="7" t="s">
        <v>2125</v>
      </c>
      <c r="G237" s="11">
        <v>3455</v>
      </c>
      <c r="H237" s="107">
        <f t="shared" si="10"/>
        <v>3731.4</v>
      </c>
      <c r="I237" s="109">
        <f t="shared" si="11"/>
        <v>4029.9120000000003</v>
      </c>
      <c r="J237" s="34">
        <f t="shared" si="9"/>
        <v>2401.8275520000002</v>
      </c>
      <c r="K237" t="s">
        <v>3247</v>
      </c>
    </row>
    <row r="238" spans="2:11" x14ac:dyDescent="0.25">
      <c r="B238" s="6"/>
      <c r="C238" s="1"/>
      <c r="D238" s="1"/>
      <c r="E238" s="91"/>
      <c r="F238" s="7"/>
      <c r="G238" s="11"/>
      <c r="H238" s="107"/>
      <c r="I238" s="109"/>
      <c r="J238" s="34"/>
    </row>
    <row r="239" spans="2:11" x14ac:dyDescent="0.25">
      <c r="B239" s="6" t="s">
        <v>2173</v>
      </c>
      <c r="C239" s="1" t="s">
        <v>2127</v>
      </c>
      <c r="D239" s="1" t="s">
        <v>2104</v>
      </c>
      <c r="E239" s="91" t="s">
        <v>2425</v>
      </c>
      <c r="F239" s="7" t="s">
        <v>2125</v>
      </c>
      <c r="G239" s="11">
        <v>3455</v>
      </c>
      <c r="H239" s="107">
        <f t="shared" si="10"/>
        <v>3731.4</v>
      </c>
      <c r="I239" s="109">
        <f t="shared" si="11"/>
        <v>4029.9120000000003</v>
      </c>
      <c r="J239" s="34">
        <f t="shared" si="9"/>
        <v>2401.8275520000002</v>
      </c>
      <c r="K239" t="s">
        <v>3247</v>
      </c>
    </row>
    <row r="240" spans="2:11" x14ac:dyDescent="0.25">
      <c r="B240" s="6"/>
      <c r="C240" s="1"/>
      <c r="D240" s="1"/>
      <c r="E240" s="91"/>
      <c r="F240" s="7"/>
      <c r="G240" s="11"/>
      <c r="H240" s="107"/>
      <c r="I240" s="109"/>
      <c r="J240" s="34"/>
    </row>
    <row r="241" spans="2:11" x14ac:dyDescent="0.25">
      <c r="B241" s="6" t="s">
        <v>2174</v>
      </c>
      <c r="C241" s="1" t="s">
        <v>2129</v>
      </c>
      <c r="D241" s="1" t="s">
        <v>2104</v>
      </c>
      <c r="E241" s="91" t="s">
        <v>2426</v>
      </c>
      <c r="F241" s="7" t="s">
        <v>2130</v>
      </c>
      <c r="G241" s="11">
        <v>3646</v>
      </c>
      <c r="H241" s="107">
        <f t="shared" si="10"/>
        <v>3937.6800000000003</v>
      </c>
      <c r="I241" s="109">
        <f t="shared" si="11"/>
        <v>4252.6944000000003</v>
      </c>
      <c r="J241" s="34">
        <f t="shared" si="9"/>
        <v>2534.6058624000002</v>
      </c>
      <c r="K241" t="s">
        <v>3247</v>
      </c>
    </row>
    <row r="242" spans="2:11" x14ac:dyDescent="0.25">
      <c r="C242" s="1"/>
      <c r="D242" s="1"/>
      <c r="E242" s="2"/>
      <c r="F242" s="7"/>
      <c r="G242" s="11"/>
      <c r="H242" s="107"/>
      <c r="I242" s="109"/>
      <c r="J242" s="7"/>
    </row>
    <row r="243" spans="2:11" x14ac:dyDescent="0.25">
      <c r="B243" s="6" t="s">
        <v>2175</v>
      </c>
      <c r="C243" s="1" t="s">
        <v>2121</v>
      </c>
      <c r="D243" s="1" t="s">
        <v>6</v>
      </c>
      <c r="E243" s="91" t="s">
        <v>2427</v>
      </c>
      <c r="F243" s="7" t="s">
        <v>2122</v>
      </c>
      <c r="G243" s="11">
        <v>2702</v>
      </c>
      <c r="H243" s="107">
        <f t="shared" si="10"/>
        <v>2918.1600000000003</v>
      </c>
      <c r="I243" s="109">
        <f t="shared" si="11"/>
        <v>3151.6128000000003</v>
      </c>
      <c r="J243" s="34">
        <f t="shared" ref="J243:J289" si="12">I243*0.596</f>
        <v>1878.3612288000002</v>
      </c>
      <c r="K243" t="s">
        <v>3247</v>
      </c>
    </row>
    <row r="244" spans="2:11" x14ac:dyDescent="0.25">
      <c r="B244" s="6"/>
      <c r="C244" s="1"/>
      <c r="D244" s="1"/>
      <c r="E244" s="91"/>
      <c r="F244" s="7"/>
      <c r="G244" s="11"/>
      <c r="H244" s="107"/>
      <c r="I244" s="109"/>
      <c r="J244" s="34"/>
    </row>
    <row r="245" spans="2:11" x14ac:dyDescent="0.25">
      <c r="B245" s="6" t="s">
        <v>2176</v>
      </c>
      <c r="C245" s="1" t="s">
        <v>2124</v>
      </c>
      <c r="D245" s="1" t="s">
        <v>6</v>
      </c>
      <c r="E245" s="91" t="s">
        <v>2428</v>
      </c>
      <c r="F245" s="7" t="s">
        <v>2125</v>
      </c>
      <c r="G245" s="11">
        <v>2885</v>
      </c>
      <c r="H245" s="107">
        <f t="shared" si="10"/>
        <v>3115.8</v>
      </c>
      <c r="I245" s="109">
        <f t="shared" si="11"/>
        <v>3365.0640000000003</v>
      </c>
      <c r="J245" s="34">
        <f t="shared" si="12"/>
        <v>2005.5781440000001</v>
      </c>
      <c r="K245" t="s">
        <v>3247</v>
      </c>
    </row>
    <row r="246" spans="2:11" x14ac:dyDescent="0.25">
      <c r="B246" s="6"/>
      <c r="C246" s="1"/>
      <c r="D246" s="1"/>
      <c r="E246" s="91"/>
      <c r="F246" s="7"/>
      <c r="G246" s="11"/>
      <c r="H246" s="107"/>
      <c r="I246" s="109"/>
      <c r="J246" s="34"/>
    </row>
    <row r="247" spans="2:11" x14ac:dyDescent="0.25">
      <c r="B247" s="6" t="s">
        <v>2177</v>
      </c>
      <c r="C247" s="1" t="s">
        <v>2127</v>
      </c>
      <c r="D247" s="1" t="s">
        <v>6</v>
      </c>
      <c r="E247" s="91" t="s">
        <v>2429</v>
      </c>
      <c r="F247" s="7" t="s">
        <v>2125</v>
      </c>
      <c r="G247" s="11">
        <v>2885</v>
      </c>
      <c r="H247" s="107">
        <f t="shared" si="10"/>
        <v>3115.8</v>
      </c>
      <c r="I247" s="109">
        <f t="shared" si="11"/>
        <v>3365.0640000000003</v>
      </c>
      <c r="J247" s="34">
        <f t="shared" si="12"/>
        <v>2005.5781440000001</v>
      </c>
      <c r="K247" t="s">
        <v>3247</v>
      </c>
    </row>
    <row r="248" spans="2:11" x14ac:dyDescent="0.25">
      <c r="B248" s="6"/>
      <c r="C248" s="1"/>
      <c r="D248" s="1"/>
      <c r="E248" s="91"/>
      <c r="F248" s="7"/>
      <c r="G248" s="11"/>
      <c r="H248" s="107"/>
      <c r="I248" s="109"/>
      <c r="J248" s="34"/>
    </row>
    <row r="249" spans="2:11" x14ac:dyDescent="0.25">
      <c r="B249" s="6" t="s">
        <v>2178</v>
      </c>
      <c r="C249" s="1" t="s">
        <v>2129</v>
      </c>
      <c r="D249" s="1" t="s">
        <v>6</v>
      </c>
      <c r="E249" s="91" t="s">
        <v>2430</v>
      </c>
      <c r="F249" s="7" t="s">
        <v>2130</v>
      </c>
      <c r="G249" s="11">
        <v>3069</v>
      </c>
      <c r="H249" s="107">
        <f t="shared" si="10"/>
        <v>3314.5200000000004</v>
      </c>
      <c r="I249" s="109">
        <f t="shared" si="11"/>
        <v>3579.6816000000008</v>
      </c>
      <c r="J249" s="34">
        <f t="shared" si="12"/>
        <v>2133.4902336000005</v>
      </c>
      <c r="K249" t="s">
        <v>3247</v>
      </c>
    </row>
    <row r="250" spans="2:11" x14ac:dyDescent="0.25">
      <c r="B250" s="6"/>
      <c r="C250" s="1"/>
      <c r="D250" s="1"/>
      <c r="E250" s="91"/>
      <c r="F250" s="7"/>
      <c r="G250" s="11"/>
      <c r="H250" s="107"/>
      <c r="I250" s="109"/>
      <c r="J250" s="34"/>
    </row>
    <row r="251" spans="2:11" x14ac:dyDescent="0.25">
      <c r="B251" s="6" t="s">
        <v>2179</v>
      </c>
      <c r="C251" s="1" t="s">
        <v>2121</v>
      </c>
      <c r="D251" s="1" t="s">
        <v>7</v>
      </c>
      <c r="E251" s="91" t="s">
        <v>2431</v>
      </c>
      <c r="F251" s="7" t="s">
        <v>2122</v>
      </c>
      <c r="G251" s="11">
        <v>2785</v>
      </c>
      <c r="H251" s="107">
        <f t="shared" si="10"/>
        <v>3007.8</v>
      </c>
      <c r="I251" s="109">
        <f t="shared" si="11"/>
        <v>3248.4240000000004</v>
      </c>
      <c r="J251" s="34">
        <f t="shared" si="12"/>
        <v>1936.0607040000002</v>
      </c>
      <c r="K251" t="s">
        <v>3247</v>
      </c>
    </row>
    <row r="252" spans="2:11" x14ac:dyDescent="0.25">
      <c r="B252" s="6"/>
      <c r="C252" s="1"/>
      <c r="D252" s="1"/>
      <c r="E252" s="91"/>
      <c r="F252" s="7"/>
      <c r="G252" s="11"/>
      <c r="H252" s="107"/>
      <c r="I252" s="109"/>
      <c r="J252" s="34"/>
    </row>
    <row r="253" spans="2:11" x14ac:dyDescent="0.25">
      <c r="B253" s="6" t="s">
        <v>2180</v>
      </c>
      <c r="C253" s="1" t="s">
        <v>2124</v>
      </c>
      <c r="D253" s="1" t="s">
        <v>7</v>
      </c>
      <c r="E253" s="91" t="s">
        <v>2432</v>
      </c>
      <c r="F253" s="7" t="s">
        <v>2125</v>
      </c>
      <c r="G253" s="11">
        <v>2971</v>
      </c>
      <c r="H253" s="107">
        <f t="shared" si="10"/>
        <v>3208.6800000000003</v>
      </c>
      <c r="I253" s="109">
        <f t="shared" si="11"/>
        <v>3465.3744000000006</v>
      </c>
      <c r="J253" s="34">
        <f t="shared" si="12"/>
        <v>2065.3631424000005</v>
      </c>
      <c r="K253" t="s">
        <v>3247</v>
      </c>
    </row>
    <row r="254" spans="2:11" x14ac:dyDescent="0.25">
      <c r="B254" s="6"/>
      <c r="C254" s="1"/>
      <c r="D254" s="1"/>
      <c r="E254" s="91"/>
      <c r="F254" s="7"/>
      <c r="G254" s="11"/>
      <c r="H254" s="107"/>
      <c r="I254" s="109"/>
      <c r="J254" s="34"/>
    </row>
    <row r="255" spans="2:11" x14ac:dyDescent="0.25">
      <c r="B255" s="6" t="s">
        <v>2181</v>
      </c>
      <c r="C255" s="1" t="s">
        <v>2127</v>
      </c>
      <c r="D255" s="1" t="s">
        <v>7</v>
      </c>
      <c r="E255" s="91" t="s">
        <v>2433</v>
      </c>
      <c r="F255" s="7" t="s">
        <v>2125</v>
      </c>
      <c r="G255" s="11">
        <v>2971</v>
      </c>
      <c r="H255" s="107">
        <f t="shared" si="10"/>
        <v>3208.6800000000003</v>
      </c>
      <c r="I255" s="109">
        <f t="shared" si="11"/>
        <v>3465.3744000000006</v>
      </c>
      <c r="J255" s="34">
        <f t="shared" si="12"/>
        <v>2065.3631424000005</v>
      </c>
      <c r="K255" t="s">
        <v>3247</v>
      </c>
    </row>
    <row r="256" spans="2:11" x14ac:dyDescent="0.25">
      <c r="B256" s="6"/>
      <c r="C256" s="1"/>
      <c r="D256" s="1"/>
      <c r="E256" s="91"/>
      <c r="F256" s="7"/>
      <c r="G256" s="11"/>
      <c r="H256" s="107"/>
      <c r="I256" s="109"/>
      <c r="J256" s="34"/>
    </row>
    <row r="257" spans="1:11" x14ac:dyDescent="0.25">
      <c r="A257" t="s">
        <v>3146</v>
      </c>
      <c r="B257" s="6" t="s">
        <v>2182</v>
      </c>
      <c r="C257" s="1" t="s">
        <v>2129</v>
      </c>
      <c r="D257" s="1" t="s">
        <v>7</v>
      </c>
      <c r="E257" s="91" t="s">
        <v>2434</v>
      </c>
      <c r="F257" s="7" t="s">
        <v>2130</v>
      </c>
      <c r="G257" s="11">
        <v>3156</v>
      </c>
      <c r="H257" s="107">
        <f t="shared" si="10"/>
        <v>3408.48</v>
      </c>
      <c r="I257" s="109">
        <f t="shared" si="11"/>
        <v>3681.1584000000003</v>
      </c>
      <c r="J257" s="34">
        <f t="shared" si="12"/>
        <v>2193.9704064000002</v>
      </c>
      <c r="K257" t="s">
        <v>3247</v>
      </c>
    </row>
    <row r="258" spans="1:11" x14ac:dyDescent="0.25">
      <c r="B258" s="6"/>
      <c r="C258" s="1"/>
      <c r="D258" s="1"/>
      <c r="E258" s="91"/>
      <c r="F258" s="7"/>
      <c r="G258" s="11"/>
      <c r="H258" s="107"/>
      <c r="I258" s="109"/>
      <c r="J258" s="34"/>
    </row>
    <row r="259" spans="1:11" x14ac:dyDescent="0.25">
      <c r="B259" s="6" t="s">
        <v>2183</v>
      </c>
      <c r="C259" s="1" t="s">
        <v>2121</v>
      </c>
      <c r="D259" s="1" t="s">
        <v>8</v>
      </c>
      <c r="E259" s="91" t="s">
        <v>2435</v>
      </c>
      <c r="F259" s="7" t="s">
        <v>2122</v>
      </c>
      <c r="G259" s="11">
        <v>2870</v>
      </c>
      <c r="H259" s="107">
        <f t="shared" si="10"/>
        <v>3099.6000000000004</v>
      </c>
      <c r="I259" s="109">
        <f t="shared" si="11"/>
        <v>3347.5680000000007</v>
      </c>
      <c r="J259" s="34">
        <f t="shared" si="12"/>
        <v>1995.1505280000003</v>
      </c>
      <c r="K259" t="s">
        <v>3247</v>
      </c>
    </row>
    <row r="260" spans="1:11" x14ac:dyDescent="0.25">
      <c r="B260" s="6"/>
      <c r="C260" s="1"/>
      <c r="D260" s="1"/>
      <c r="E260" s="91"/>
      <c r="F260" s="7"/>
      <c r="G260" s="11"/>
      <c r="H260" s="107"/>
      <c r="I260" s="109"/>
      <c r="J260" s="34"/>
    </row>
    <row r="261" spans="1:11" x14ac:dyDescent="0.25">
      <c r="B261" s="6" t="s">
        <v>2184</v>
      </c>
      <c r="C261" s="1" t="s">
        <v>2124</v>
      </c>
      <c r="D261" s="1" t="s">
        <v>8</v>
      </c>
      <c r="E261" s="91" t="s">
        <v>2436</v>
      </c>
      <c r="F261" s="7" t="s">
        <v>2125</v>
      </c>
      <c r="G261" s="11">
        <v>3059</v>
      </c>
      <c r="H261" s="107">
        <f t="shared" ref="H261:H289" si="13">G261*1.08</f>
        <v>3303.7200000000003</v>
      </c>
      <c r="I261" s="109">
        <f t="shared" ref="I261:I289" si="14">H261*1.08</f>
        <v>3568.0176000000006</v>
      </c>
      <c r="J261" s="34">
        <f t="shared" si="12"/>
        <v>2126.5384896</v>
      </c>
      <c r="K261" t="s">
        <v>3247</v>
      </c>
    </row>
    <row r="262" spans="1:11" x14ac:dyDescent="0.25">
      <c r="B262" s="6"/>
      <c r="C262" s="1"/>
      <c r="D262" s="1"/>
      <c r="E262" s="91"/>
      <c r="F262" s="7"/>
      <c r="G262" s="11"/>
      <c r="H262" s="107"/>
      <c r="I262" s="109"/>
      <c r="J262" s="34"/>
    </row>
    <row r="263" spans="1:11" x14ac:dyDescent="0.25">
      <c r="B263" s="6" t="s">
        <v>2185</v>
      </c>
      <c r="C263" s="1" t="s">
        <v>2127</v>
      </c>
      <c r="D263" s="1" t="s">
        <v>8</v>
      </c>
      <c r="E263" s="91" t="s">
        <v>2437</v>
      </c>
      <c r="F263" s="7" t="s">
        <v>2125</v>
      </c>
      <c r="G263" s="11">
        <v>3059</v>
      </c>
      <c r="H263" s="107">
        <f t="shared" si="13"/>
        <v>3303.7200000000003</v>
      </c>
      <c r="I263" s="109">
        <f t="shared" si="14"/>
        <v>3568.0176000000006</v>
      </c>
      <c r="J263" s="34">
        <f t="shared" si="12"/>
        <v>2126.5384896</v>
      </c>
      <c r="K263" t="s">
        <v>3247</v>
      </c>
    </row>
    <row r="264" spans="1:11" x14ac:dyDescent="0.25">
      <c r="B264" s="6"/>
      <c r="C264" s="1"/>
      <c r="D264" s="1"/>
      <c r="E264" s="91"/>
      <c r="F264" s="7"/>
      <c r="G264" s="11"/>
      <c r="H264" s="107"/>
      <c r="I264" s="109"/>
      <c r="J264" s="34"/>
    </row>
    <row r="265" spans="1:11" x14ac:dyDescent="0.25">
      <c r="B265" s="6" t="s">
        <v>2186</v>
      </c>
      <c r="C265" s="1" t="s">
        <v>2129</v>
      </c>
      <c r="D265" s="1" t="s">
        <v>8</v>
      </c>
      <c r="E265" s="91" t="s">
        <v>2438</v>
      </c>
      <c r="F265" s="7" t="s">
        <v>2130</v>
      </c>
      <c r="G265" s="11">
        <v>3245</v>
      </c>
      <c r="H265" s="107">
        <f t="shared" si="13"/>
        <v>3504.6000000000004</v>
      </c>
      <c r="I265" s="109">
        <f t="shared" si="14"/>
        <v>3784.9680000000008</v>
      </c>
      <c r="J265" s="34">
        <f t="shared" si="12"/>
        <v>2255.8409280000005</v>
      </c>
      <c r="K265" t="s">
        <v>3247</v>
      </c>
    </row>
    <row r="266" spans="1:11" x14ac:dyDescent="0.25">
      <c r="B266" s="6"/>
      <c r="C266" s="1"/>
      <c r="D266" s="1"/>
      <c r="E266" s="91"/>
      <c r="F266" s="7"/>
      <c r="G266" s="11"/>
      <c r="H266" s="107"/>
      <c r="I266" s="109"/>
      <c r="J266" s="34"/>
    </row>
    <row r="267" spans="1:11" x14ac:dyDescent="0.25">
      <c r="B267" s="6" t="s">
        <v>2187</v>
      </c>
      <c r="C267" s="1" t="s">
        <v>2121</v>
      </c>
      <c r="D267" s="7" t="s">
        <v>9</v>
      </c>
      <c r="E267" s="91" t="s">
        <v>490</v>
      </c>
      <c r="F267" s="7" t="s">
        <v>2122</v>
      </c>
      <c r="G267" s="11">
        <v>2960</v>
      </c>
      <c r="H267" s="107">
        <f t="shared" si="13"/>
        <v>3196.8</v>
      </c>
      <c r="I267" s="109">
        <f t="shared" si="14"/>
        <v>3452.5440000000003</v>
      </c>
      <c r="J267" s="34">
        <f t="shared" si="12"/>
        <v>2057.7162240000002</v>
      </c>
      <c r="K267" t="s">
        <v>3247</v>
      </c>
    </row>
    <row r="268" spans="1:11" x14ac:dyDescent="0.25">
      <c r="B268" s="6"/>
      <c r="C268" s="1"/>
      <c r="D268" s="7"/>
      <c r="E268" s="91"/>
      <c r="F268" s="7"/>
      <c r="G268" s="11"/>
      <c r="H268" s="107"/>
      <c r="I268" s="109"/>
      <c r="J268" s="34"/>
    </row>
    <row r="269" spans="1:11" x14ac:dyDescent="0.25">
      <c r="B269" s="6" t="s">
        <v>2188</v>
      </c>
      <c r="C269" s="1" t="s">
        <v>2124</v>
      </c>
      <c r="D269" s="7" t="s">
        <v>9</v>
      </c>
      <c r="E269" s="91" t="s">
        <v>2439</v>
      </c>
      <c r="F269" s="7" t="s">
        <v>2125</v>
      </c>
      <c r="G269" s="11">
        <v>3148</v>
      </c>
      <c r="H269" s="107">
        <f t="shared" si="13"/>
        <v>3399.84</v>
      </c>
      <c r="I269" s="109">
        <f t="shared" si="14"/>
        <v>3671.8272000000002</v>
      </c>
      <c r="J269" s="34">
        <f t="shared" si="12"/>
        <v>2188.4090111999999</v>
      </c>
      <c r="K269" t="s">
        <v>3247</v>
      </c>
    </row>
    <row r="270" spans="1:11" x14ac:dyDescent="0.25">
      <c r="B270" s="6"/>
      <c r="C270" s="1"/>
      <c r="D270" s="7"/>
      <c r="E270" s="91"/>
      <c r="F270" s="7"/>
      <c r="G270" s="11"/>
      <c r="H270" s="107"/>
      <c r="I270" s="109"/>
      <c r="J270" s="34"/>
    </row>
    <row r="271" spans="1:11" x14ac:dyDescent="0.25">
      <c r="B271" s="6" t="s">
        <v>2189</v>
      </c>
      <c r="C271" s="1" t="s">
        <v>2127</v>
      </c>
      <c r="D271" s="7" t="s">
        <v>9</v>
      </c>
      <c r="E271" s="91" t="s">
        <v>491</v>
      </c>
      <c r="F271" s="7" t="s">
        <v>2125</v>
      </c>
      <c r="G271" s="11">
        <v>3148</v>
      </c>
      <c r="H271" s="107">
        <f t="shared" si="13"/>
        <v>3399.84</v>
      </c>
      <c r="I271" s="109">
        <f t="shared" si="14"/>
        <v>3671.8272000000002</v>
      </c>
      <c r="J271" s="34">
        <f t="shared" si="12"/>
        <v>2188.4090111999999</v>
      </c>
      <c r="K271" t="s">
        <v>3247</v>
      </c>
    </row>
    <row r="272" spans="1:11" x14ac:dyDescent="0.25">
      <c r="B272" s="6"/>
      <c r="C272" s="1"/>
      <c r="D272" s="7"/>
      <c r="E272" s="91"/>
      <c r="F272" s="7"/>
      <c r="G272" s="11"/>
      <c r="H272" s="107"/>
      <c r="I272" s="109"/>
      <c r="J272" s="34"/>
    </row>
    <row r="273" spans="2:11" x14ac:dyDescent="0.25">
      <c r="B273" s="6" t="s">
        <v>2190</v>
      </c>
      <c r="C273" s="1" t="s">
        <v>2129</v>
      </c>
      <c r="D273" s="7" t="s">
        <v>9</v>
      </c>
      <c r="E273" s="91" t="s">
        <v>492</v>
      </c>
      <c r="F273" s="7" t="s">
        <v>2130</v>
      </c>
      <c r="G273" s="11">
        <v>3338</v>
      </c>
      <c r="H273" s="107">
        <f t="shared" si="13"/>
        <v>3605.0400000000004</v>
      </c>
      <c r="I273" s="109">
        <f t="shared" si="14"/>
        <v>3893.4432000000006</v>
      </c>
      <c r="J273" s="34">
        <f t="shared" si="12"/>
        <v>2320.4921472000001</v>
      </c>
      <c r="K273" t="s">
        <v>3247</v>
      </c>
    </row>
    <row r="274" spans="2:11" x14ac:dyDescent="0.25">
      <c r="B274" s="6"/>
      <c r="C274" s="1"/>
      <c r="D274" s="7"/>
      <c r="E274" s="91"/>
      <c r="F274" s="7"/>
      <c r="G274" s="11"/>
      <c r="H274" s="107"/>
      <c r="I274" s="109"/>
      <c r="J274" s="34"/>
    </row>
    <row r="275" spans="2:11" x14ac:dyDescent="0.25">
      <c r="B275" s="6" t="s">
        <v>2191</v>
      </c>
      <c r="C275" s="1" t="s">
        <v>2121</v>
      </c>
      <c r="D275" s="7" t="s">
        <v>10</v>
      </c>
      <c r="E275" s="91" t="s">
        <v>2440</v>
      </c>
      <c r="F275" s="7" t="s">
        <v>2122</v>
      </c>
      <c r="G275" s="11">
        <v>3049</v>
      </c>
      <c r="H275" s="107">
        <f t="shared" si="13"/>
        <v>3292.92</v>
      </c>
      <c r="I275" s="109">
        <f t="shared" si="14"/>
        <v>3556.3536000000004</v>
      </c>
      <c r="J275" s="34">
        <f t="shared" si="12"/>
        <v>2119.5867456000001</v>
      </c>
      <c r="K275" t="s">
        <v>3247</v>
      </c>
    </row>
    <row r="276" spans="2:11" x14ac:dyDescent="0.25">
      <c r="B276" s="6"/>
      <c r="C276" s="1"/>
      <c r="D276" s="7"/>
      <c r="E276" s="91"/>
      <c r="F276" s="7"/>
      <c r="G276" s="11"/>
      <c r="H276" s="107"/>
      <c r="I276" s="109"/>
      <c r="J276" s="34"/>
    </row>
    <row r="277" spans="2:11" x14ac:dyDescent="0.25">
      <c r="B277" s="6" t="s">
        <v>2192</v>
      </c>
      <c r="C277" s="1" t="s">
        <v>2124</v>
      </c>
      <c r="D277" s="7" t="s">
        <v>10</v>
      </c>
      <c r="E277" s="91" t="s">
        <v>2441</v>
      </c>
      <c r="F277" s="7" t="s">
        <v>2125</v>
      </c>
      <c r="G277" s="11">
        <v>3239</v>
      </c>
      <c r="H277" s="107">
        <f t="shared" si="13"/>
        <v>3498.1200000000003</v>
      </c>
      <c r="I277" s="109">
        <f t="shared" si="14"/>
        <v>3777.9696000000008</v>
      </c>
      <c r="J277" s="34">
        <f t="shared" si="12"/>
        <v>2251.6698816000003</v>
      </c>
      <c r="K277" t="s">
        <v>3247</v>
      </c>
    </row>
    <row r="278" spans="2:11" x14ac:dyDescent="0.25">
      <c r="B278" s="6"/>
      <c r="C278" s="1"/>
      <c r="D278" s="7"/>
      <c r="E278" s="91"/>
      <c r="F278" s="7"/>
      <c r="G278" s="11"/>
      <c r="H278" s="107"/>
      <c r="I278" s="109"/>
      <c r="J278" s="34"/>
    </row>
    <row r="279" spans="2:11" x14ac:dyDescent="0.25">
      <c r="B279" s="6" t="s">
        <v>2193</v>
      </c>
      <c r="C279" s="1" t="s">
        <v>2127</v>
      </c>
      <c r="D279" s="7" t="s">
        <v>10</v>
      </c>
      <c r="E279" s="91" t="s">
        <v>2442</v>
      </c>
      <c r="F279" s="7" t="s">
        <v>2125</v>
      </c>
      <c r="G279" s="11">
        <v>3239</v>
      </c>
      <c r="H279" s="107">
        <f t="shared" si="13"/>
        <v>3498.1200000000003</v>
      </c>
      <c r="I279" s="109">
        <f t="shared" si="14"/>
        <v>3777.9696000000008</v>
      </c>
      <c r="J279" s="34">
        <f t="shared" si="12"/>
        <v>2251.6698816000003</v>
      </c>
      <c r="K279" t="s">
        <v>3247</v>
      </c>
    </row>
    <row r="280" spans="2:11" x14ac:dyDescent="0.25">
      <c r="B280" s="6"/>
      <c r="C280" s="1"/>
      <c r="D280" s="7"/>
      <c r="E280" s="91"/>
      <c r="F280" s="7"/>
      <c r="G280" s="11"/>
      <c r="H280" s="107"/>
      <c r="I280" s="109"/>
      <c r="J280" s="34"/>
    </row>
    <row r="281" spans="2:11" x14ac:dyDescent="0.25">
      <c r="B281" s="6" t="s">
        <v>2194</v>
      </c>
      <c r="C281" s="1" t="s">
        <v>2129</v>
      </c>
      <c r="D281" s="7" t="s">
        <v>10</v>
      </c>
      <c r="E281" s="91" t="s">
        <v>2443</v>
      </c>
      <c r="F281" s="7" t="s">
        <v>2130</v>
      </c>
      <c r="G281" s="11">
        <v>3430</v>
      </c>
      <c r="H281" s="107">
        <f t="shared" si="13"/>
        <v>3704.4</v>
      </c>
      <c r="I281" s="109">
        <f t="shared" si="14"/>
        <v>4000.7520000000004</v>
      </c>
      <c r="J281" s="34">
        <f t="shared" si="12"/>
        <v>2384.4481920000003</v>
      </c>
      <c r="K281" t="s">
        <v>3247</v>
      </c>
    </row>
    <row r="282" spans="2:11" x14ac:dyDescent="0.25">
      <c r="B282" s="6"/>
      <c r="C282" s="1"/>
      <c r="D282" s="7"/>
      <c r="E282" s="91"/>
      <c r="F282" s="7"/>
      <c r="G282" s="11"/>
      <c r="H282" s="107"/>
      <c r="I282" s="109"/>
      <c r="J282" s="34"/>
    </row>
    <row r="283" spans="2:11" x14ac:dyDescent="0.25">
      <c r="B283" s="6" t="s">
        <v>2195</v>
      </c>
      <c r="C283" s="1" t="s">
        <v>2121</v>
      </c>
      <c r="D283" s="7" t="s">
        <v>11</v>
      </c>
      <c r="E283" s="91" t="s">
        <v>2444</v>
      </c>
      <c r="F283" s="7" t="s">
        <v>2122</v>
      </c>
      <c r="G283" s="11">
        <v>3301</v>
      </c>
      <c r="H283" s="107">
        <f t="shared" si="13"/>
        <v>3565.0800000000004</v>
      </c>
      <c r="I283" s="109">
        <f t="shared" si="14"/>
        <v>3850.2864000000009</v>
      </c>
      <c r="J283" s="34">
        <f t="shared" si="12"/>
        <v>2294.7706944000006</v>
      </c>
      <c r="K283" t="s">
        <v>3247</v>
      </c>
    </row>
    <row r="284" spans="2:11" x14ac:dyDescent="0.25">
      <c r="B284" s="6"/>
      <c r="C284" s="1"/>
      <c r="D284" s="7"/>
      <c r="E284" s="91"/>
      <c r="F284" s="7"/>
      <c r="G284" s="11"/>
      <c r="H284" s="107"/>
      <c r="I284" s="109"/>
      <c r="J284" s="34"/>
    </row>
    <row r="285" spans="2:11" x14ac:dyDescent="0.25">
      <c r="B285" s="6" t="s">
        <v>2196</v>
      </c>
      <c r="C285" s="1" t="s">
        <v>2124</v>
      </c>
      <c r="D285" s="7" t="s">
        <v>11</v>
      </c>
      <c r="E285" s="91" t="s">
        <v>2445</v>
      </c>
      <c r="F285" s="7" t="s">
        <v>2125</v>
      </c>
      <c r="G285" s="11">
        <v>3497</v>
      </c>
      <c r="H285" s="107">
        <f t="shared" si="13"/>
        <v>3776.76</v>
      </c>
      <c r="I285" s="109">
        <f t="shared" si="14"/>
        <v>4078.9008000000003</v>
      </c>
      <c r="J285" s="34">
        <f t="shared" si="12"/>
        <v>2431.0248768000001</v>
      </c>
      <c r="K285" t="s">
        <v>3247</v>
      </c>
    </row>
    <row r="286" spans="2:11" x14ac:dyDescent="0.25">
      <c r="B286" s="6"/>
      <c r="C286" s="1"/>
      <c r="D286" s="7"/>
      <c r="E286" s="91"/>
      <c r="F286" s="7"/>
      <c r="G286" s="11"/>
      <c r="H286" s="107"/>
      <c r="I286" s="109"/>
      <c r="J286" s="34"/>
    </row>
    <row r="287" spans="2:11" x14ac:dyDescent="0.25">
      <c r="B287" s="6" t="s">
        <v>2197</v>
      </c>
      <c r="C287" s="1" t="s">
        <v>2127</v>
      </c>
      <c r="D287" s="7" t="s">
        <v>11</v>
      </c>
      <c r="E287" s="91" t="s">
        <v>2446</v>
      </c>
      <c r="F287" s="7" t="s">
        <v>2125</v>
      </c>
      <c r="G287" s="11">
        <v>3497</v>
      </c>
      <c r="H287" s="107">
        <f t="shared" si="13"/>
        <v>3776.76</v>
      </c>
      <c r="I287" s="109">
        <f t="shared" si="14"/>
        <v>4078.9008000000003</v>
      </c>
      <c r="J287" s="34">
        <f t="shared" si="12"/>
        <v>2431.0248768000001</v>
      </c>
      <c r="K287" t="s">
        <v>3247</v>
      </c>
    </row>
    <row r="288" spans="2:11" x14ac:dyDescent="0.25">
      <c r="B288" s="6"/>
      <c r="C288" s="1"/>
      <c r="D288" s="7"/>
      <c r="E288" s="91"/>
      <c r="F288" s="7"/>
      <c r="G288" s="11"/>
      <c r="H288" s="107"/>
      <c r="I288" s="109"/>
      <c r="J288" s="34"/>
    </row>
    <row r="289" spans="2:11" x14ac:dyDescent="0.25">
      <c r="B289" s="6" t="s">
        <v>2198</v>
      </c>
      <c r="C289" s="1" t="s">
        <v>2129</v>
      </c>
      <c r="D289" s="7" t="s">
        <v>11</v>
      </c>
      <c r="E289" s="91" t="s">
        <v>2447</v>
      </c>
      <c r="F289" s="7" t="s">
        <v>2130</v>
      </c>
      <c r="G289" s="11">
        <v>3693</v>
      </c>
      <c r="H289" s="107">
        <f t="shared" si="13"/>
        <v>3988.44</v>
      </c>
      <c r="I289" s="109">
        <f t="shared" si="14"/>
        <v>4307.5152000000007</v>
      </c>
      <c r="J289" s="34">
        <f t="shared" si="12"/>
        <v>2567.2790592000001</v>
      </c>
      <c r="K289" t="s">
        <v>3247</v>
      </c>
    </row>
    <row r="290" spans="2:11" x14ac:dyDescent="0.25">
      <c r="I290" s="110"/>
    </row>
    <row r="291" spans="2:11" x14ac:dyDescent="0.25">
      <c r="G291" s="54"/>
      <c r="H291" s="54"/>
      <c r="I291" s="110"/>
      <c r="J291" s="54"/>
    </row>
    <row r="292" spans="2:11" x14ac:dyDescent="0.25">
      <c r="I292" s="110"/>
    </row>
    <row r="293" spans="2:11" x14ac:dyDescent="0.25">
      <c r="I293" s="110"/>
      <c r="J293" s="5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48F2E-04AD-4A1E-A83B-FE182401E8A1}">
  <sheetPr>
    <pageSetUpPr fitToPage="1"/>
  </sheetPr>
  <dimension ref="A1:L996"/>
  <sheetViews>
    <sheetView topLeftCell="B955" zoomScale="85" zoomScaleNormal="85" workbookViewId="0">
      <selection activeCell="K909" sqref="K909:K996"/>
    </sheetView>
  </sheetViews>
  <sheetFormatPr defaultRowHeight="15" x14ac:dyDescent="0.25"/>
  <cols>
    <col min="1" max="1" width="45" customWidth="1"/>
    <col min="2" max="2" width="28.85546875" customWidth="1"/>
    <col min="3" max="3" width="93.28515625" customWidth="1"/>
    <col min="4" max="5" width="27.7109375" customWidth="1"/>
    <col min="6" max="6" width="37" customWidth="1"/>
    <col min="7" max="7" width="113.85546875" customWidth="1"/>
    <col min="8" max="8" width="9.85546875" hidden="1" customWidth="1"/>
    <col min="9" max="9" width="10.28515625" hidden="1" customWidth="1"/>
    <col min="10" max="10" width="19" customWidth="1"/>
    <col min="11" max="11" width="29" customWidth="1"/>
  </cols>
  <sheetData>
    <row r="1" spans="1:12" ht="69.75" customHeight="1" x14ac:dyDescent="0.25">
      <c r="A1" s="5"/>
      <c r="B1" s="12" t="s">
        <v>3</v>
      </c>
      <c r="C1" s="12" t="s">
        <v>0</v>
      </c>
      <c r="D1" s="12" t="s">
        <v>4</v>
      </c>
      <c r="E1" s="12" t="s">
        <v>2598</v>
      </c>
      <c r="F1" s="13" t="s">
        <v>1</v>
      </c>
      <c r="G1" s="12" t="s">
        <v>2</v>
      </c>
      <c r="H1" s="12" t="s">
        <v>3201</v>
      </c>
      <c r="I1" s="12" t="s">
        <v>3202</v>
      </c>
      <c r="J1" s="12" t="s">
        <v>3214</v>
      </c>
      <c r="K1" s="12" t="s">
        <v>3215</v>
      </c>
    </row>
    <row r="2" spans="1:12" s="62" customFormat="1" ht="19.5" customHeight="1" x14ac:dyDescent="0.25">
      <c r="A2" s="60"/>
      <c r="B2" s="71" t="s">
        <v>2957</v>
      </c>
      <c r="C2" s="71"/>
      <c r="D2" s="71"/>
      <c r="E2" s="71"/>
      <c r="F2" s="71"/>
      <c r="G2" s="71"/>
      <c r="H2" s="71"/>
      <c r="I2" s="71"/>
      <c r="J2" s="71"/>
      <c r="K2" s="71"/>
    </row>
    <row r="3" spans="1:12" x14ac:dyDescent="0.25">
      <c r="A3" s="32"/>
      <c r="B3" s="6" t="s">
        <v>2641</v>
      </c>
      <c r="C3" s="7" t="s">
        <v>2199</v>
      </c>
      <c r="D3" s="7" t="s">
        <v>2200</v>
      </c>
      <c r="E3" s="7" t="s">
        <v>2856</v>
      </c>
      <c r="F3" s="8" t="s">
        <v>2870</v>
      </c>
      <c r="G3" s="7" t="s">
        <v>2201</v>
      </c>
      <c r="H3" s="34">
        <v>804</v>
      </c>
      <c r="I3" s="109">
        <f>H3*1.05</f>
        <v>844.2</v>
      </c>
      <c r="J3" s="109">
        <v>959</v>
      </c>
      <c r="K3" s="34">
        <f>J3*0.596</f>
        <v>571.56399999999996</v>
      </c>
      <c r="L3" t="s">
        <v>3249</v>
      </c>
    </row>
    <row r="4" spans="1:12" x14ac:dyDescent="0.25">
      <c r="A4" s="59" t="s">
        <v>2938</v>
      </c>
      <c r="B4" s="6" t="s">
        <v>2636</v>
      </c>
      <c r="C4" s="7" t="s">
        <v>2199</v>
      </c>
      <c r="D4" s="7" t="s">
        <v>2202</v>
      </c>
      <c r="E4" s="7" t="s">
        <v>2857</v>
      </c>
      <c r="F4" s="8" t="s">
        <v>2630</v>
      </c>
      <c r="G4" s="7" t="s">
        <v>2203</v>
      </c>
      <c r="H4" s="34">
        <v>634</v>
      </c>
      <c r="I4" s="109">
        <f t="shared" ref="I4:I67" si="0">H4*1.05</f>
        <v>665.7</v>
      </c>
      <c r="J4" s="109">
        <v>756</v>
      </c>
      <c r="K4" s="34">
        <f t="shared" ref="K4:K67" si="1">J4*0.596</f>
        <v>450.57599999999996</v>
      </c>
      <c r="L4" t="s">
        <v>3249</v>
      </c>
    </row>
    <row r="5" spans="1:12" x14ac:dyDescent="0.25">
      <c r="B5" s="6" t="s">
        <v>2637</v>
      </c>
      <c r="C5" s="7" t="s">
        <v>2199</v>
      </c>
      <c r="D5" s="7" t="s">
        <v>2635</v>
      </c>
      <c r="E5" s="7" t="s">
        <v>2858</v>
      </c>
      <c r="F5" s="8" t="s">
        <v>2631</v>
      </c>
      <c r="G5" s="7" t="s">
        <v>2203</v>
      </c>
      <c r="H5" s="34">
        <v>1082</v>
      </c>
      <c r="I5" s="109">
        <f t="shared" si="0"/>
        <v>1136.1000000000001</v>
      </c>
      <c r="J5" s="109">
        <v>1290</v>
      </c>
      <c r="K5" s="34">
        <f t="shared" si="1"/>
        <v>768.83999999999992</v>
      </c>
      <c r="L5" t="s">
        <v>3249</v>
      </c>
    </row>
    <row r="6" spans="1:12" x14ac:dyDescent="0.25">
      <c r="B6" s="6" t="s">
        <v>2638</v>
      </c>
      <c r="C6" s="7" t="s">
        <v>2199</v>
      </c>
      <c r="D6" s="7" t="s">
        <v>2204</v>
      </c>
      <c r="E6" s="7" t="s">
        <v>2859</v>
      </c>
      <c r="F6" s="8" t="s">
        <v>2632</v>
      </c>
      <c r="G6" s="7" t="s">
        <v>2203</v>
      </c>
      <c r="H6" s="34">
        <v>544</v>
      </c>
      <c r="I6" s="109">
        <f t="shared" si="0"/>
        <v>571.20000000000005</v>
      </c>
      <c r="J6" s="109">
        <v>649</v>
      </c>
      <c r="K6" s="34">
        <f t="shared" si="1"/>
        <v>386.80399999999997</v>
      </c>
      <c r="L6" t="s">
        <v>3249</v>
      </c>
    </row>
    <row r="7" spans="1:12" x14ac:dyDescent="0.25">
      <c r="B7" s="6" t="s">
        <v>2639</v>
      </c>
      <c r="C7" s="7" t="s">
        <v>2199</v>
      </c>
      <c r="D7" s="7" t="s">
        <v>2205</v>
      </c>
      <c r="E7" s="7" t="s">
        <v>2859</v>
      </c>
      <c r="F7" s="8" t="s">
        <v>2633</v>
      </c>
      <c r="G7" s="7" t="s">
        <v>2203</v>
      </c>
      <c r="H7" s="34">
        <v>661</v>
      </c>
      <c r="I7" s="109">
        <f t="shared" si="0"/>
        <v>694.05000000000007</v>
      </c>
      <c r="J7" s="109">
        <v>788</v>
      </c>
      <c r="K7" s="34">
        <f t="shared" si="1"/>
        <v>469.64799999999997</v>
      </c>
      <c r="L7" t="s">
        <v>3249</v>
      </c>
    </row>
    <row r="8" spans="1:12" x14ac:dyDescent="0.25">
      <c r="B8" s="6" t="s">
        <v>2640</v>
      </c>
      <c r="C8" s="7" t="s">
        <v>2199</v>
      </c>
      <c r="D8" s="7" t="s">
        <v>2206</v>
      </c>
      <c r="E8" s="7" t="s">
        <v>2860</v>
      </c>
      <c r="F8" s="8" t="s">
        <v>2634</v>
      </c>
      <c r="G8" s="7" t="s">
        <v>2203</v>
      </c>
      <c r="H8" s="34">
        <v>1036</v>
      </c>
      <c r="I8" s="109">
        <f t="shared" si="0"/>
        <v>1087.8</v>
      </c>
      <c r="J8" s="109">
        <v>1234</v>
      </c>
      <c r="K8" s="34">
        <f t="shared" si="1"/>
        <v>735.46399999999994</v>
      </c>
      <c r="L8" t="s">
        <v>3249</v>
      </c>
    </row>
    <row r="9" spans="1:12" x14ac:dyDescent="0.25">
      <c r="B9" s="6"/>
      <c r="C9" s="7"/>
      <c r="D9" s="7"/>
      <c r="E9" s="7"/>
      <c r="F9" s="8"/>
      <c r="G9" s="7"/>
      <c r="H9" s="34"/>
      <c r="I9" s="109"/>
      <c r="J9" s="109"/>
      <c r="K9" s="34"/>
    </row>
    <row r="10" spans="1:12" x14ac:dyDescent="0.25">
      <c r="A10" s="32"/>
      <c r="B10" s="6" t="s">
        <v>2645</v>
      </c>
      <c r="C10" s="7" t="s">
        <v>2207</v>
      </c>
      <c r="D10" s="7" t="s">
        <v>2208</v>
      </c>
      <c r="E10" s="7" t="s">
        <v>2861</v>
      </c>
      <c r="F10" s="8" t="s">
        <v>2642</v>
      </c>
      <c r="G10" s="7" t="s">
        <v>2209</v>
      </c>
      <c r="H10" s="34">
        <f>991*1.11</f>
        <v>1100.01</v>
      </c>
      <c r="I10" s="109">
        <f t="shared" si="0"/>
        <v>1155.0105000000001</v>
      </c>
      <c r="J10" s="109">
        <f>1182*1.11</f>
        <v>1312.0200000000002</v>
      </c>
      <c r="K10" s="34">
        <f t="shared" si="1"/>
        <v>781.96392000000014</v>
      </c>
      <c r="L10" t="s">
        <v>3250</v>
      </c>
    </row>
    <row r="11" spans="1:12" x14ac:dyDescent="0.25">
      <c r="A11" s="59" t="s">
        <v>2939</v>
      </c>
      <c r="B11" s="6" t="s">
        <v>2646</v>
      </c>
      <c r="C11" s="7" t="s">
        <v>2207</v>
      </c>
      <c r="D11" s="7" t="s">
        <v>2202</v>
      </c>
      <c r="E11" s="7" t="s">
        <v>2862</v>
      </c>
      <c r="F11" s="8" t="s">
        <v>2643</v>
      </c>
      <c r="G11" s="7" t="s">
        <v>2871</v>
      </c>
      <c r="H11" s="34">
        <f>1097*1.11</f>
        <v>1217.67</v>
      </c>
      <c r="I11" s="109">
        <f t="shared" si="0"/>
        <v>1278.5535000000002</v>
      </c>
      <c r="J11" s="109">
        <f>1307*1.11</f>
        <v>1450.7700000000002</v>
      </c>
      <c r="K11" s="34">
        <f t="shared" si="1"/>
        <v>864.65892000000008</v>
      </c>
      <c r="L11" t="s">
        <v>3250</v>
      </c>
    </row>
    <row r="12" spans="1:12" x14ac:dyDescent="0.25">
      <c r="A12" s="59"/>
      <c r="B12" s="6" t="s">
        <v>2647</v>
      </c>
      <c r="C12" s="7" t="s">
        <v>2207</v>
      </c>
      <c r="D12" s="7" t="s">
        <v>2644</v>
      </c>
      <c r="E12" s="7" t="s">
        <v>2863</v>
      </c>
      <c r="F12" s="8" t="s">
        <v>2631</v>
      </c>
      <c r="G12" s="7" t="s">
        <v>2872</v>
      </c>
      <c r="H12" s="34">
        <f>1453*1.11</f>
        <v>1612.8300000000002</v>
      </c>
      <c r="I12" s="109">
        <f t="shared" si="0"/>
        <v>1693.4715000000003</v>
      </c>
      <c r="J12" s="109">
        <f>1731*1.11</f>
        <v>1921.41</v>
      </c>
      <c r="K12" s="34">
        <f t="shared" si="1"/>
        <v>1145.1603600000001</v>
      </c>
      <c r="L12" t="s">
        <v>3250</v>
      </c>
    </row>
    <row r="13" spans="1:12" x14ac:dyDescent="0.25">
      <c r="B13" s="6" t="s">
        <v>2648</v>
      </c>
      <c r="C13" s="7" t="s">
        <v>2207</v>
      </c>
      <c r="D13" s="7" t="s">
        <v>2204</v>
      </c>
      <c r="E13" s="7" t="s">
        <v>2859</v>
      </c>
      <c r="F13" s="8" t="s">
        <v>2632</v>
      </c>
      <c r="G13" s="7" t="s">
        <v>2211</v>
      </c>
      <c r="H13" s="34">
        <f>651*1.11</f>
        <v>722.61</v>
      </c>
      <c r="I13" s="109">
        <f t="shared" si="0"/>
        <v>758.7405</v>
      </c>
      <c r="J13" s="109">
        <f>776*1.11</f>
        <v>861.36000000000013</v>
      </c>
      <c r="K13" s="34">
        <f t="shared" si="1"/>
        <v>513.37056000000007</v>
      </c>
      <c r="L13" t="s">
        <v>3250</v>
      </c>
    </row>
    <row r="14" spans="1:12" x14ac:dyDescent="0.25">
      <c r="B14" s="6" t="s">
        <v>2649</v>
      </c>
      <c r="C14" s="7" t="s">
        <v>2207</v>
      </c>
      <c r="D14" s="51" t="s">
        <v>2694</v>
      </c>
      <c r="E14" s="51" t="s">
        <v>2859</v>
      </c>
      <c r="F14" t="s">
        <v>2633</v>
      </c>
      <c r="G14" s="7" t="s">
        <v>2211</v>
      </c>
      <c r="H14" s="34">
        <f>784*1.11</f>
        <v>870.24000000000012</v>
      </c>
      <c r="I14" s="109">
        <f t="shared" si="0"/>
        <v>913.75200000000018</v>
      </c>
      <c r="J14" s="109">
        <f>935*1.11</f>
        <v>1037.8500000000001</v>
      </c>
      <c r="K14" s="34">
        <f t="shared" si="1"/>
        <v>618.55860000000007</v>
      </c>
      <c r="L14" t="s">
        <v>3250</v>
      </c>
    </row>
    <row r="15" spans="1:12" x14ac:dyDescent="0.25">
      <c r="B15" s="6" t="s">
        <v>2649</v>
      </c>
      <c r="C15" s="7" t="s">
        <v>2207</v>
      </c>
      <c r="D15" s="7" t="s">
        <v>2210</v>
      </c>
      <c r="E15" s="7" t="s">
        <v>2860</v>
      </c>
      <c r="F15" s="8" t="s">
        <v>2634</v>
      </c>
      <c r="G15" s="7" t="s">
        <v>2869</v>
      </c>
      <c r="H15" s="34">
        <f>1100*1.11</f>
        <v>1221</v>
      </c>
      <c r="I15" s="109">
        <f t="shared" si="0"/>
        <v>1282.05</v>
      </c>
      <c r="J15" s="109">
        <f>1310*1.11</f>
        <v>1454.1000000000001</v>
      </c>
      <c r="K15" s="34">
        <f t="shared" si="1"/>
        <v>866.64359999999999</v>
      </c>
      <c r="L15" t="s">
        <v>3250</v>
      </c>
    </row>
    <row r="16" spans="1:12" x14ac:dyDescent="0.25">
      <c r="A16" s="59" t="s">
        <v>2940</v>
      </c>
      <c r="B16" s="6"/>
      <c r="C16" s="7"/>
      <c r="D16" s="7"/>
      <c r="E16" s="7"/>
      <c r="F16" s="8"/>
      <c r="G16" s="7"/>
      <c r="H16" s="34"/>
      <c r="I16" s="109"/>
      <c r="J16" s="109"/>
      <c r="K16" s="34"/>
    </row>
    <row r="17" spans="1:12" x14ac:dyDescent="0.25">
      <c r="A17" s="32"/>
      <c r="B17" s="6" t="s">
        <v>2695</v>
      </c>
      <c r="C17" s="7" t="s">
        <v>2212</v>
      </c>
      <c r="D17" s="7" t="s">
        <v>2204</v>
      </c>
      <c r="E17" s="7" t="s">
        <v>2859</v>
      </c>
      <c r="F17" s="8" t="s">
        <v>2632</v>
      </c>
      <c r="G17" s="7" t="s">
        <v>2213</v>
      </c>
      <c r="H17" s="34">
        <v>544</v>
      </c>
      <c r="I17" s="109">
        <f t="shared" si="0"/>
        <v>571.20000000000005</v>
      </c>
      <c r="J17" s="109">
        <v>649</v>
      </c>
      <c r="K17" s="34">
        <f t="shared" si="1"/>
        <v>386.80399999999997</v>
      </c>
    </row>
    <row r="18" spans="1:12" x14ac:dyDescent="0.25">
      <c r="A18" s="59"/>
      <c r="B18" s="6" t="s">
        <v>2696</v>
      </c>
      <c r="C18" s="7" t="s">
        <v>2212</v>
      </c>
      <c r="D18" s="7" t="s">
        <v>2205</v>
      </c>
      <c r="E18" s="7" t="s">
        <v>2859</v>
      </c>
      <c r="F18" s="8" t="s">
        <v>2633</v>
      </c>
      <c r="G18" s="7" t="s">
        <v>2214</v>
      </c>
      <c r="H18" s="34">
        <v>661</v>
      </c>
      <c r="I18" s="109">
        <f t="shared" si="0"/>
        <v>694.05000000000007</v>
      </c>
      <c r="J18" s="109">
        <v>788</v>
      </c>
      <c r="K18" s="34">
        <f t="shared" si="1"/>
        <v>469.64799999999997</v>
      </c>
    </row>
    <row r="19" spans="1:12" x14ac:dyDescent="0.25">
      <c r="B19" s="6" t="s">
        <v>2697</v>
      </c>
      <c r="C19" s="7" t="s">
        <v>2212</v>
      </c>
      <c r="D19" s="7" t="s">
        <v>2210</v>
      </c>
      <c r="E19" s="7" t="s">
        <v>2860</v>
      </c>
      <c r="F19" s="8" t="s">
        <v>2634</v>
      </c>
      <c r="G19" s="7" t="s">
        <v>2214</v>
      </c>
      <c r="H19" s="34">
        <v>1036</v>
      </c>
      <c r="I19" s="109">
        <f t="shared" si="0"/>
        <v>1087.8</v>
      </c>
      <c r="J19" s="109">
        <v>1234</v>
      </c>
      <c r="K19" s="34">
        <f t="shared" si="1"/>
        <v>735.46399999999994</v>
      </c>
    </row>
    <row r="20" spans="1:12" x14ac:dyDescent="0.25">
      <c r="B20" s="6"/>
      <c r="C20" s="7"/>
      <c r="D20" s="7"/>
      <c r="E20" s="7"/>
      <c r="F20" s="8"/>
      <c r="G20" s="7"/>
      <c r="H20" s="34"/>
      <c r="I20" s="109"/>
      <c r="J20" s="109"/>
      <c r="K20" s="34"/>
    </row>
    <row r="21" spans="1:12" x14ac:dyDescent="0.25">
      <c r="A21" s="32"/>
      <c r="B21" s="6" t="s">
        <v>2698</v>
      </c>
      <c r="C21" s="7" t="s">
        <v>2215</v>
      </c>
      <c r="D21" s="7" t="s">
        <v>2644</v>
      </c>
      <c r="E21" s="7" t="s">
        <v>2863</v>
      </c>
      <c r="F21" s="8" t="s">
        <v>2631</v>
      </c>
      <c r="G21" s="7" t="s">
        <v>2873</v>
      </c>
      <c r="H21" s="34">
        <v>2226</v>
      </c>
      <c r="I21" s="109">
        <f t="shared" si="0"/>
        <v>2337.3000000000002</v>
      </c>
      <c r="J21" s="109">
        <v>2485</v>
      </c>
      <c r="K21" s="34">
        <f t="shared" si="1"/>
        <v>1481.06</v>
      </c>
    </row>
    <row r="22" spans="1:12" x14ac:dyDescent="0.25">
      <c r="A22" s="59" t="s">
        <v>2941</v>
      </c>
      <c r="B22" s="6" t="s">
        <v>2699</v>
      </c>
      <c r="C22" s="7" t="s">
        <v>2215</v>
      </c>
      <c r="D22" s="7" t="s">
        <v>2204</v>
      </c>
      <c r="E22" s="7" t="s">
        <v>2859</v>
      </c>
      <c r="F22" s="8" t="s">
        <v>2632</v>
      </c>
      <c r="G22" s="7" t="s">
        <v>2874</v>
      </c>
      <c r="H22" s="34">
        <v>1087</v>
      </c>
      <c r="I22" s="109">
        <f t="shared" si="0"/>
        <v>1141.3500000000001</v>
      </c>
      <c r="J22" s="109">
        <v>1200</v>
      </c>
      <c r="K22" s="34">
        <f t="shared" si="1"/>
        <v>715.19999999999993</v>
      </c>
    </row>
    <row r="23" spans="1:12" x14ac:dyDescent="0.25">
      <c r="B23" s="6" t="s">
        <v>2700</v>
      </c>
      <c r="C23" s="7" t="s">
        <v>2215</v>
      </c>
      <c r="D23" s="7" t="s">
        <v>2205</v>
      </c>
      <c r="E23" s="7" t="s">
        <v>2859</v>
      </c>
      <c r="F23" s="8" t="s">
        <v>2633</v>
      </c>
      <c r="G23" s="7" t="s">
        <v>2874</v>
      </c>
      <c r="H23" s="34">
        <v>1192</v>
      </c>
      <c r="I23" s="109">
        <f t="shared" si="0"/>
        <v>1251.6000000000001</v>
      </c>
      <c r="J23" s="109">
        <v>1310</v>
      </c>
      <c r="K23" s="34">
        <f t="shared" si="1"/>
        <v>780.76</v>
      </c>
    </row>
    <row r="24" spans="1:12" x14ac:dyDescent="0.25">
      <c r="A24" s="59"/>
      <c r="B24" s="6" t="s">
        <v>2701</v>
      </c>
      <c r="C24" s="7" t="s">
        <v>2215</v>
      </c>
      <c r="D24" s="7" t="s">
        <v>2210</v>
      </c>
      <c r="E24" s="7" t="s">
        <v>2860</v>
      </c>
      <c r="F24" s="8" t="s">
        <v>2634</v>
      </c>
      <c r="G24" s="7" t="s">
        <v>2876</v>
      </c>
      <c r="H24" s="34">
        <f>1036+603</f>
        <v>1639</v>
      </c>
      <c r="I24" s="109">
        <f t="shared" si="0"/>
        <v>1720.95</v>
      </c>
      <c r="J24" s="109">
        <f>1234+701</f>
        <v>1935</v>
      </c>
      <c r="K24" s="34">
        <f t="shared" si="1"/>
        <v>1153.26</v>
      </c>
      <c r="L24" t="s">
        <v>3249</v>
      </c>
    </row>
    <row r="25" spans="1:12" x14ac:dyDescent="0.25">
      <c r="B25" s="7"/>
      <c r="C25" s="7"/>
      <c r="D25" s="7"/>
      <c r="G25" s="7"/>
      <c r="H25" s="7"/>
      <c r="I25" s="109"/>
      <c r="J25" s="109"/>
      <c r="K25" s="34"/>
    </row>
    <row r="26" spans="1:12" x14ac:dyDescent="0.25">
      <c r="A26" s="32"/>
      <c r="B26" s="6" t="s">
        <v>2702</v>
      </c>
      <c r="C26" s="7" t="s">
        <v>2216</v>
      </c>
      <c r="D26" s="7" t="s">
        <v>27</v>
      </c>
      <c r="E26" s="7" t="s">
        <v>2860</v>
      </c>
      <c r="F26" s="7" t="s">
        <v>2650</v>
      </c>
      <c r="G26" s="7" t="s">
        <v>2217</v>
      </c>
      <c r="H26" s="34">
        <v>1060</v>
      </c>
      <c r="I26" s="109">
        <f t="shared" si="0"/>
        <v>1113</v>
      </c>
      <c r="J26" s="109">
        <v>1262</v>
      </c>
      <c r="K26" s="34">
        <f t="shared" si="1"/>
        <v>752.15199999999993</v>
      </c>
      <c r="L26" t="s">
        <v>3249</v>
      </c>
    </row>
    <row r="27" spans="1:12" x14ac:dyDescent="0.25">
      <c r="A27" s="4"/>
      <c r="B27" s="6" t="s">
        <v>2703</v>
      </c>
      <c r="C27" s="7" t="s">
        <v>2216</v>
      </c>
      <c r="D27" s="7" t="s">
        <v>28</v>
      </c>
      <c r="E27" s="7" t="s">
        <v>2856</v>
      </c>
      <c r="F27" s="8" t="s">
        <v>2875</v>
      </c>
      <c r="G27" s="7" t="s">
        <v>2218</v>
      </c>
      <c r="H27" s="34">
        <v>607</v>
      </c>
      <c r="I27" s="109">
        <f t="shared" si="0"/>
        <v>637.35</v>
      </c>
      <c r="J27" s="109">
        <v>724</v>
      </c>
      <c r="K27" s="34">
        <f t="shared" si="1"/>
        <v>431.50399999999996</v>
      </c>
      <c r="L27" t="s">
        <v>3249</v>
      </c>
    </row>
    <row r="28" spans="1:12" x14ac:dyDescent="0.25">
      <c r="A28" s="32"/>
      <c r="B28" s="6" t="s">
        <v>2704</v>
      </c>
      <c r="C28" s="7" t="s">
        <v>2219</v>
      </c>
      <c r="D28" s="7" t="s">
        <v>27</v>
      </c>
      <c r="E28" s="7" t="s">
        <v>2860</v>
      </c>
      <c r="F28" s="8" t="s">
        <v>2650</v>
      </c>
      <c r="G28" s="7" t="s">
        <v>2220</v>
      </c>
      <c r="H28" s="34">
        <f>1123*1.11</f>
        <v>1246.5300000000002</v>
      </c>
      <c r="I28" s="109">
        <f t="shared" si="0"/>
        <v>1308.8565000000003</v>
      </c>
      <c r="J28" s="109">
        <f>1338*1.11</f>
        <v>1485.18</v>
      </c>
      <c r="K28" s="34">
        <f t="shared" si="1"/>
        <v>885.16728000000001</v>
      </c>
      <c r="L28" t="s">
        <v>3250</v>
      </c>
    </row>
    <row r="29" spans="1:12" x14ac:dyDescent="0.25">
      <c r="A29" s="59" t="s">
        <v>2942</v>
      </c>
      <c r="B29" s="6" t="s">
        <v>2705</v>
      </c>
      <c r="C29" s="7" t="s">
        <v>2219</v>
      </c>
      <c r="D29" s="7" t="s">
        <v>28</v>
      </c>
      <c r="E29" s="7" t="s">
        <v>2856</v>
      </c>
      <c r="F29" s="8" t="s">
        <v>2875</v>
      </c>
      <c r="G29" s="7" t="s">
        <v>2221</v>
      </c>
      <c r="H29" s="34">
        <f>965*1.11</f>
        <v>1071.1500000000001</v>
      </c>
      <c r="I29" s="109">
        <f t="shared" si="0"/>
        <v>1124.7075000000002</v>
      </c>
      <c r="J29" s="109">
        <f>1150*1.11</f>
        <v>1276.5</v>
      </c>
      <c r="K29" s="34">
        <f t="shared" si="1"/>
        <v>760.79399999999998</v>
      </c>
      <c r="L29" t="s">
        <v>3250</v>
      </c>
    </row>
    <row r="30" spans="1:12" x14ac:dyDescent="0.25">
      <c r="B30" s="6"/>
      <c r="C30" s="7"/>
      <c r="D30" s="7"/>
      <c r="E30" s="7"/>
      <c r="F30" s="8"/>
      <c r="G30" s="7"/>
      <c r="H30" s="34"/>
      <c r="I30" s="109"/>
      <c r="J30" s="109"/>
      <c r="K30" s="34"/>
    </row>
    <row r="31" spans="1:12" x14ac:dyDescent="0.25">
      <c r="A31" s="59"/>
      <c r="B31" s="6" t="s">
        <v>2707</v>
      </c>
      <c r="C31" s="7" t="s">
        <v>2222</v>
      </c>
      <c r="D31" s="7" t="s">
        <v>27</v>
      </c>
      <c r="E31" s="7" t="s">
        <v>2860</v>
      </c>
      <c r="F31" s="8" t="s">
        <v>2650</v>
      </c>
      <c r="G31" s="7" t="s">
        <v>2223</v>
      </c>
      <c r="H31" s="34">
        <v>1060</v>
      </c>
      <c r="I31" s="109">
        <f t="shared" si="0"/>
        <v>1113</v>
      </c>
      <c r="J31" s="109">
        <v>1262</v>
      </c>
      <c r="K31" s="34">
        <f t="shared" si="1"/>
        <v>752.15199999999993</v>
      </c>
    </row>
    <row r="32" spans="1:12" x14ac:dyDescent="0.25">
      <c r="A32" s="4"/>
      <c r="B32" s="6" t="s">
        <v>2708</v>
      </c>
      <c r="C32" s="7" t="s">
        <v>2222</v>
      </c>
      <c r="D32" s="7" t="s">
        <v>28</v>
      </c>
      <c r="E32" s="7" t="s">
        <v>2856</v>
      </c>
      <c r="F32" s="8" t="s">
        <v>2875</v>
      </c>
      <c r="G32" s="7" t="s">
        <v>2224</v>
      </c>
      <c r="H32" s="34">
        <v>965</v>
      </c>
      <c r="I32" s="109">
        <f t="shared" si="0"/>
        <v>1013.25</v>
      </c>
      <c r="J32" s="109">
        <v>1150</v>
      </c>
      <c r="K32" s="34">
        <f t="shared" si="1"/>
        <v>685.4</v>
      </c>
    </row>
    <row r="33" spans="1:12" x14ac:dyDescent="0.25">
      <c r="A33" s="4"/>
      <c r="B33" s="6" t="s">
        <v>2709</v>
      </c>
      <c r="C33" s="7" t="s">
        <v>2706</v>
      </c>
      <c r="D33" s="7" t="s">
        <v>27</v>
      </c>
      <c r="E33" s="7" t="s">
        <v>2860</v>
      </c>
      <c r="F33" s="8" t="s">
        <v>2650</v>
      </c>
      <c r="G33" s="7" t="s">
        <v>2877</v>
      </c>
      <c r="H33" s="34">
        <f>1060+545</f>
        <v>1605</v>
      </c>
      <c r="I33" s="109">
        <f t="shared" si="0"/>
        <v>1685.25</v>
      </c>
      <c r="J33" s="109">
        <f>598+1262</f>
        <v>1860</v>
      </c>
      <c r="K33" s="34">
        <f t="shared" si="1"/>
        <v>1108.56</v>
      </c>
    </row>
    <row r="34" spans="1:12" x14ac:dyDescent="0.25">
      <c r="A34" s="4"/>
      <c r="B34" s="6"/>
      <c r="C34" s="7"/>
      <c r="D34" s="7"/>
      <c r="E34" s="7"/>
      <c r="F34" s="8"/>
      <c r="G34" s="7"/>
      <c r="H34" s="34"/>
      <c r="I34" s="109"/>
      <c r="J34" s="109"/>
      <c r="K34" s="34"/>
    </row>
    <row r="35" spans="1:12" x14ac:dyDescent="0.25">
      <c r="A35" s="59" t="s">
        <v>2943</v>
      </c>
      <c r="B35" s="6" t="s">
        <v>2710</v>
      </c>
      <c r="C35" s="7" t="s">
        <v>2712</v>
      </c>
      <c r="D35" s="7" t="s">
        <v>27</v>
      </c>
      <c r="E35" s="7" t="s">
        <v>2864</v>
      </c>
      <c r="F35" s="8" t="s">
        <v>2651</v>
      </c>
      <c r="G35" s="7" t="s">
        <v>2878</v>
      </c>
      <c r="H35" s="34">
        <v>823</v>
      </c>
      <c r="I35" s="109">
        <f t="shared" si="0"/>
        <v>864.15000000000009</v>
      </c>
      <c r="J35" s="109">
        <v>982</v>
      </c>
      <c r="K35" s="34">
        <f t="shared" si="1"/>
        <v>585.27199999999993</v>
      </c>
    </row>
    <row r="36" spans="1:12" x14ac:dyDescent="0.25">
      <c r="A36" s="59"/>
      <c r="B36" s="6" t="s">
        <v>2711</v>
      </c>
      <c r="C36" s="7" t="s">
        <v>2712</v>
      </c>
      <c r="D36" s="7" t="s">
        <v>2225</v>
      </c>
      <c r="E36" s="7" t="s">
        <v>2864</v>
      </c>
      <c r="F36" s="8" t="s">
        <v>2652</v>
      </c>
      <c r="G36" s="7" t="s">
        <v>2878</v>
      </c>
      <c r="H36" s="34">
        <v>953</v>
      </c>
      <c r="I36" s="109">
        <f t="shared" si="0"/>
        <v>1000.6500000000001</v>
      </c>
      <c r="J36" s="109">
        <v>1136</v>
      </c>
      <c r="K36" s="34">
        <f t="shared" si="1"/>
        <v>677.05599999999993</v>
      </c>
    </row>
    <row r="37" spans="1:12" x14ac:dyDescent="0.25">
      <c r="B37" s="6"/>
      <c r="C37" s="7"/>
      <c r="D37" s="7"/>
      <c r="E37" s="7"/>
      <c r="F37" s="8"/>
      <c r="G37" s="7"/>
      <c r="H37" s="34"/>
      <c r="I37" s="109"/>
      <c r="J37" s="109"/>
      <c r="K37" s="34"/>
    </row>
    <row r="38" spans="1:12" x14ac:dyDescent="0.25">
      <c r="A38" s="32"/>
      <c r="B38" s="6" t="s">
        <v>2716</v>
      </c>
      <c r="C38" s="7" t="s">
        <v>2713</v>
      </c>
      <c r="D38" s="7" t="s">
        <v>27</v>
      </c>
      <c r="E38" s="7" t="s">
        <v>2864</v>
      </c>
      <c r="F38" s="7" t="s">
        <v>2651</v>
      </c>
      <c r="G38" s="7" t="s">
        <v>2879</v>
      </c>
      <c r="H38" s="34">
        <v>1225</v>
      </c>
      <c r="I38" s="109">
        <f t="shared" si="0"/>
        <v>1286.25</v>
      </c>
      <c r="J38" s="109">
        <v>1368</v>
      </c>
      <c r="K38" s="34">
        <f t="shared" si="1"/>
        <v>815.32799999999997</v>
      </c>
    </row>
    <row r="39" spans="1:12" x14ac:dyDescent="0.25">
      <c r="A39" s="4"/>
      <c r="B39" s="6" t="s">
        <v>2717</v>
      </c>
      <c r="C39" s="7" t="s">
        <v>2713</v>
      </c>
      <c r="D39" s="7" t="s">
        <v>2225</v>
      </c>
      <c r="E39" s="7" t="s">
        <v>2864</v>
      </c>
      <c r="F39" s="8" t="s">
        <v>2652</v>
      </c>
      <c r="G39" s="7" t="s">
        <v>2879</v>
      </c>
      <c r="H39" s="34">
        <v>1628</v>
      </c>
      <c r="I39" s="109">
        <f t="shared" si="0"/>
        <v>1709.4</v>
      </c>
      <c r="J39" s="109">
        <v>1814</v>
      </c>
      <c r="K39" s="34">
        <f t="shared" si="1"/>
        <v>1081.144</v>
      </c>
    </row>
    <row r="40" spans="1:12" x14ac:dyDescent="0.25">
      <c r="B40" s="7"/>
      <c r="C40" s="7"/>
      <c r="D40" s="7"/>
      <c r="E40" s="7"/>
      <c r="F40" s="7"/>
      <c r="G40" s="7"/>
      <c r="H40" s="7"/>
      <c r="I40" s="109"/>
      <c r="J40" s="109"/>
      <c r="K40" s="34"/>
    </row>
    <row r="41" spans="1:12" x14ac:dyDescent="0.25">
      <c r="A41" s="59" t="s">
        <v>2944</v>
      </c>
      <c r="B41" s="6" t="s">
        <v>2714</v>
      </c>
      <c r="C41" s="7" t="s">
        <v>2226</v>
      </c>
      <c r="D41" s="7" t="s">
        <v>2205</v>
      </c>
      <c r="E41" s="7" t="s">
        <v>2865</v>
      </c>
      <c r="F41" s="7" t="s">
        <v>2653</v>
      </c>
      <c r="G41" s="7" t="s">
        <v>2227</v>
      </c>
      <c r="H41" s="34">
        <v>1971</v>
      </c>
      <c r="I41" s="109">
        <f t="shared" si="0"/>
        <v>2069.5500000000002</v>
      </c>
      <c r="J41" s="109">
        <v>2348</v>
      </c>
      <c r="K41" s="34">
        <f t="shared" si="1"/>
        <v>1399.4079999999999</v>
      </c>
    </row>
    <row r="42" spans="1:12" x14ac:dyDescent="0.25">
      <c r="A42" s="4"/>
      <c r="B42" s="6" t="s">
        <v>2715</v>
      </c>
      <c r="C42" s="7" t="s">
        <v>2226</v>
      </c>
      <c r="D42" s="7" t="s">
        <v>2644</v>
      </c>
      <c r="E42" s="7" t="s">
        <v>2863</v>
      </c>
      <c r="F42" s="8" t="s">
        <v>2880</v>
      </c>
      <c r="G42" s="7" t="s">
        <v>2881</v>
      </c>
      <c r="H42" s="34">
        <v>1070</v>
      </c>
      <c r="I42" s="109">
        <f t="shared" si="0"/>
        <v>1123.5</v>
      </c>
      <c r="J42" s="109">
        <v>1275</v>
      </c>
      <c r="K42" s="34">
        <f t="shared" si="1"/>
        <v>759.9</v>
      </c>
    </row>
    <row r="43" spans="1:12" x14ac:dyDescent="0.25">
      <c r="A43" s="59"/>
      <c r="B43" s="6"/>
      <c r="C43" s="7"/>
      <c r="D43" s="7"/>
      <c r="F43" s="52"/>
      <c r="G43" s="7"/>
      <c r="H43" s="34"/>
      <c r="I43" s="109"/>
      <c r="J43" s="109"/>
      <c r="K43" s="34"/>
    </row>
    <row r="44" spans="1:12" x14ac:dyDescent="0.25">
      <c r="A44" s="4"/>
      <c r="B44" s="6" t="s">
        <v>2714</v>
      </c>
      <c r="C44" s="7" t="s">
        <v>2228</v>
      </c>
      <c r="D44" s="7" t="s">
        <v>2205</v>
      </c>
      <c r="E44" s="7" t="s">
        <v>2865</v>
      </c>
      <c r="F44" s="8" t="s">
        <v>2653</v>
      </c>
      <c r="G44" s="7" t="s">
        <v>2229</v>
      </c>
      <c r="H44" s="34">
        <v>2123</v>
      </c>
      <c r="I44" s="109">
        <f t="shared" si="0"/>
        <v>2229.15</v>
      </c>
      <c r="J44" s="109">
        <f>2529*1.11</f>
        <v>2807.19</v>
      </c>
      <c r="K44" s="34">
        <f t="shared" si="1"/>
        <v>1673.0852399999999</v>
      </c>
      <c r="L44" t="s">
        <v>3250</v>
      </c>
    </row>
    <row r="45" spans="1:12" x14ac:dyDescent="0.25">
      <c r="A45" s="4"/>
      <c r="B45" s="6" t="s">
        <v>2715</v>
      </c>
      <c r="C45" s="7" t="s">
        <v>2228</v>
      </c>
      <c r="D45" s="7" t="s">
        <v>2644</v>
      </c>
      <c r="E45" s="7" t="s">
        <v>2863</v>
      </c>
      <c r="F45" s="8" t="s">
        <v>2880</v>
      </c>
      <c r="G45" s="7" t="s">
        <v>2882</v>
      </c>
      <c r="H45" s="34">
        <v>1437</v>
      </c>
      <c r="I45" s="109">
        <f t="shared" si="0"/>
        <v>1508.8500000000001</v>
      </c>
      <c r="J45" s="109">
        <f>1712*1.11</f>
        <v>1900.3200000000002</v>
      </c>
      <c r="K45" s="34">
        <f t="shared" si="1"/>
        <v>1132.5907200000001</v>
      </c>
      <c r="L45" t="s">
        <v>3250</v>
      </c>
    </row>
    <row r="46" spans="1:12" x14ac:dyDescent="0.25">
      <c r="A46" s="59" t="s">
        <v>2945</v>
      </c>
      <c r="B46" s="6"/>
      <c r="C46" s="7"/>
      <c r="D46" s="7"/>
      <c r="E46" s="7"/>
      <c r="F46" s="8"/>
      <c r="G46" s="7"/>
      <c r="H46" s="34"/>
      <c r="I46" s="109"/>
      <c r="J46" s="109"/>
      <c r="K46" s="34"/>
    </row>
    <row r="47" spans="1:12" x14ac:dyDescent="0.25">
      <c r="A47" s="59"/>
      <c r="B47" s="6" t="s">
        <v>2719</v>
      </c>
      <c r="C47" s="7" t="s">
        <v>2718</v>
      </c>
      <c r="D47" s="7" t="s">
        <v>2205</v>
      </c>
      <c r="E47" s="7" t="s">
        <v>2863</v>
      </c>
      <c r="F47" s="8" t="s">
        <v>2880</v>
      </c>
      <c r="G47" s="7" t="s">
        <v>2883</v>
      </c>
      <c r="H47" s="34">
        <v>2216</v>
      </c>
      <c r="I47" s="109">
        <f t="shared" si="0"/>
        <v>2326.8000000000002</v>
      </c>
      <c r="J47" s="109">
        <v>2472</v>
      </c>
      <c r="K47" s="34">
        <f t="shared" si="1"/>
        <v>1473.3119999999999</v>
      </c>
    </row>
    <row r="48" spans="1:12" x14ac:dyDescent="0.25">
      <c r="A48" s="59"/>
      <c r="B48" s="53" t="s">
        <v>2720</v>
      </c>
      <c r="C48" s="7" t="s">
        <v>2718</v>
      </c>
      <c r="D48" s="7" t="s">
        <v>2644</v>
      </c>
      <c r="E48" s="7" t="s">
        <v>2863</v>
      </c>
      <c r="F48" s="8" t="s">
        <v>2880</v>
      </c>
      <c r="G48" s="7" t="s">
        <v>2883</v>
      </c>
      <c r="H48" s="34">
        <v>2216</v>
      </c>
      <c r="I48" s="109">
        <f t="shared" si="0"/>
        <v>2326.8000000000002</v>
      </c>
      <c r="J48" s="109">
        <v>2472</v>
      </c>
      <c r="K48" s="34">
        <f t="shared" si="1"/>
        <v>1473.3119999999999</v>
      </c>
    </row>
    <row r="49" spans="1:12" x14ac:dyDescent="0.25">
      <c r="B49" s="7"/>
      <c r="C49" s="7"/>
      <c r="D49" s="7"/>
      <c r="E49" s="7"/>
      <c r="F49" s="7"/>
      <c r="G49" s="7"/>
      <c r="H49" s="7"/>
      <c r="I49" s="109"/>
      <c r="J49" s="109"/>
      <c r="K49" s="34"/>
    </row>
    <row r="50" spans="1:12" x14ac:dyDescent="0.25">
      <c r="A50" s="4"/>
      <c r="B50" s="6" t="s">
        <v>2721</v>
      </c>
      <c r="C50" s="7" t="s">
        <v>2230</v>
      </c>
      <c r="D50" s="7" t="s">
        <v>2231</v>
      </c>
      <c r="E50" s="7" t="s">
        <v>2859</v>
      </c>
      <c r="F50" s="8" t="s">
        <v>2654</v>
      </c>
      <c r="G50" s="7" t="s">
        <v>2232</v>
      </c>
      <c r="H50" s="34">
        <v>578</v>
      </c>
      <c r="I50" s="109">
        <f t="shared" si="0"/>
        <v>606.9</v>
      </c>
      <c r="J50" s="109">
        <v>689</v>
      </c>
      <c r="K50" s="34">
        <f t="shared" si="1"/>
        <v>410.64400000000001</v>
      </c>
    </row>
    <row r="51" spans="1:12" x14ac:dyDescent="0.25">
      <c r="A51" s="59" t="s">
        <v>2946</v>
      </c>
      <c r="B51" s="6" t="s">
        <v>2722</v>
      </c>
      <c r="C51" s="7" t="s">
        <v>2233</v>
      </c>
      <c r="D51" s="7" t="s">
        <v>2231</v>
      </c>
      <c r="E51" s="7" t="s">
        <v>2859</v>
      </c>
      <c r="F51" s="8" t="s">
        <v>2654</v>
      </c>
      <c r="G51" s="7" t="s">
        <v>2234</v>
      </c>
      <c r="H51" s="34">
        <f>690*1.11</f>
        <v>765.90000000000009</v>
      </c>
      <c r="I51" s="109">
        <f t="shared" si="0"/>
        <v>804.19500000000016</v>
      </c>
      <c r="J51" s="109">
        <f>689*1.11</f>
        <v>764.79000000000008</v>
      </c>
      <c r="K51" s="34">
        <f t="shared" si="1"/>
        <v>455.81484</v>
      </c>
      <c r="L51" t="s">
        <v>3250</v>
      </c>
    </row>
    <row r="52" spans="1:12" x14ac:dyDescent="0.25">
      <c r="A52" s="4"/>
      <c r="B52" s="6"/>
      <c r="C52" s="7"/>
      <c r="D52" s="7"/>
      <c r="E52" s="7"/>
      <c r="F52" s="8"/>
      <c r="G52" s="7"/>
      <c r="H52" s="34"/>
      <c r="I52" s="109"/>
      <c r="J52" s="109"/>
      <c r="K52" s="34"/>
    </row>
    <row r="53" spans="1:12" x14ac:dyDescent="0.25">
      <c r="B53" s="6" t="s">
        <v>2723</v>
      </c>
      <c r="C53" s="7" t="s">
        <v>2235</v>
      </c>
      <c r="D53" s="7" t="s">
        <v>2231</v>
      </c>
      <c r="E53" s="7" t="s">
        <v>2859</v>
      </c>
      <c r="F53" s="8" t="s">
        <v>2654</v>
      </c>
      <c r="G53" s="7" t="s">
        <v>2236</v>
      </c>
      <c r="H53" s="34">
        <v>578</v>
      </c>
      <c r="I53" s="109">
        <f t="shared" si="0"/>
        <v>606.9</v>
      </c>
      <c r="J53" s="109">
        <v>689</v>
      </c>
      <c r="K53" s="34">
        <f t="shared" si="1"/>
        <v>410.64400000000001</v>
      </c>
    </row>
    <row r="54" spans="1:12" x14ac:dyDescent="0.25">
      <c r="A54" s="59"/>
      <c r="B54" s="6" t="s">
        <v>2724</v>
      </c>
      <c r="C54" s="7" t="s">
        <v>2237</v>
      </c>
      <c r="D54" s="7" t="s">
        <v>2231</v>
      </c>
      <c r="E54" s="7" t="s">
        <v>2859</v>
      </c>
      <c r="F54" s="8" t="s">
        <v>2654</v>
      </c>
      <c r="G54" s="7" t="s">
        <v>2884</v>
      </c>
      <c r="H54" s="34">
        <v>1098</v>
      </c>
      <c r="I54" s="109">
        <f t="shared" si="0"/>
        <v>1152.9000000000001</v>
      </c>
      <c r="J54" s="109">
        <v>1212</v>
      </c>
      <c r="K54" s="34">
        <f t="shared" si="1"/>
        <v>722.35199999999998</v>
      </c>
    </row>
    <row r="55" spans="1:12" x14ac:dyDescent="0.25">
      <c r="B55" s="6"/>
      <c r="C55" s="7"/>
      <c r="D55" s="7"/>
      <c r="E55" s="7"/>
      <c r="F55" s="8"/>
      <c r="G55" s="7"/>
      <c r="H55" s="7"/>
      <c r="I55" s="109"/>
      <c r="J55" s="109"/>
      <c r="K55" s="34"/>
    </row>
    <row r="56" spans="1:12" x14ac:dyDescent="0.25">
      <c r="B56" s="6" t="s">
        <v>2725</v>
      </c>
      <c r="C56" s="7" t="s">
        <v>2230</v>
      </c>
      <c r="D56" s="7" t="s">
        <v>2238</v>
      </c>
      <c r="E56" s="7" t="s">
        <v>2857</v>
      </c>
      <c r="F56" s="8" t="s">
        <v>2655</v>
      </c>
      <c r="G56" s="7" t="s">
        <v>2232</v>
      </c>
      <c r="H56" s="34">
        <v>644</v>
      </c>
      <c r="I56" s="109">
        <f t="shared" si="0"/>
        <v>676.2</v>
      </c>
      <c r="J56" s="109">
        <v>768</v>
      </c>
      <c r="K56" s="34">
        <f t="shared" si="1"/>
        <v>457.72799999999995</v>
      </c>
      <c r="L56" t="s">
        <v>3249</v>
      </c>
    </row>
    <row r="57" spans="1:12" x14ac:dyDescent="0.25">
      <c r="A57" s="59">
        <v>72053016</v>
      </c>
      <c r="B57" s="6" t="s">
        <v>2726</v>
      </c>
      <c r="C57" s="7" t="s">
        <v>2233</v>
      </c>
      <c r="D57" s="7" t="s">
        <v>2238</v>
      </c>
      <c r="E57" s="7" t="s">
        <v>2857</v>
      </c>
      <c r="F57" s="8" t="s">
        <v>2655</v>
      </c>
      <c r="G57" s="7" t="s">
        <v>2239</v>
      </c>
      <c r="H57" s="34">
        <v>669</v>
      </c>
      <c r="I57" s="109">
        <f t="shared" si="0"/>
        <v>702.45</v>
      </c>
      <c r="J57" s="109">
        <f>798*1.11</f>
        <v>885.78000000000009</v>
      </c>
      <c r="K57" s="34">
        <f t="shared" si="1"/>
        <v>527.92488000000003</v>
      </c>
      <c r="L57" t="s">
        <v>3250</v>
      </c>
    </row>
    <row r="58" spans="1:12" x14ac:dyDescent="0.25">
      <c r="B58" s="6"/>
      <c r="C58" s="7"/>
      <c r="D58" s="7"/>
      <c r="E58" s="7"/>
      <c r="F58" s="8"/>
      <c r="G58" s="7"/>
      <c r="H58" s="34"/>
      <c r="I58" s="109"/>
      <c r="J58" s="109"/>
      <c r="K58" s="34"/>
    </row>
    <row r="59" spans="1:12" x14ac:dyDescent="0.25">
      <c r="B59" s="6" t="s">
        <v>2727</v>
      </c>
      <c r="C59" s="7" t="s">
        <v>2235</v>
      </c>
      <c r="D59" s="7" t="s">
        <v>2238</v>
      </c>
      <c r="E59" s="7" t="s">
        <v>2857</v>
      </c>
      <c r="F59" s="8" t="s">
        <v>2655</v>
      </c>
      <c r="G59" s="7" t="s">
        <v>2236</v>
      </c>
      <c r="H59" s="34">
        <v>644</v>
      </c>
      <c r="I59" s="109">
        <f t="shared" si="0"/>
        <v>676.2</v>
      </c>
      <c r="J59" s="109">
        <v>768</v>
      </c>
      <c r="K59" s="34">
        <f t="shared" si="1"/>
        <v>457.72799999999995</v>
      </c>
    </row>
    <row r="60" spans="1:12" x14ac:dyDescent="0.25">
      <c r="A60" s="59"/>
      <c r="B60" s="6"/>
      <c r="C60" s="7"/>
      <c r="D60" s="7"/>
      <c r="E60" s="7"/>
      <c r="F60" s="7"/>
      <c r="G60" s="7"/>
      <c r="H60" s="7"/>
      <c r="I60" s="109"/>
      <c r="J60" s="109"/>
      <c r="K60" s="34"/>
    </row>
    <row r="61" spans="1:12" x14ac:dyDescent="0.25">
      <c r="B61" s="6" t="s">
        <v>2728</v>
      </c>
      <c r="C61" s="7" t="s">
        <v>2230</v>
      </c>
      <c r="D61" s="7" t="s">
        <v>2240</v>
      </c>
      <c r="E61" s="7" t="s">
        <v>2866</v>
      </c>
      <c r="F61" s="8" t="s">
        <v>2656</v>
      </c>
      <c r="G61" s="7" t="s">
        <v>2232</v>
      </c>
      <c r="H61" s="34">
        <v>2514</v>
      </c>
      <c r="I61" s="109">
        <f t="shared" si="0"/>
        <v>2639.7000000000003</v>
      </c>
      <c r="J61" s="109">
        <v>2994</v>
      </c>
      <c r="K61" s="34">
        <f t="shared" si="1"/>
        <v>1784.424</v>
      </c>
      <c r="L61" t="s">
        <v>3249</v>
      </c>
    </row>
    <row r="62" spans="1:12" x14ac:dyDescent="0.25">
      <c r="B62" s="6" t="s">
        <v>2729</v>
      </c>
      <c r="C62" s="7" t="s">
        <v>2233</v>
      </c>
      <c r="D62" s="7" t="s">
        <v>2240</v>
      </c>
      <c r="E62" s="7" t="s">
        <v>2866</v>
      </c>
      <c r="F62" s="8" t="s">
        <v>2656</v>
      </c>
      <c r="G62" s="7" t="s">
        <v>2885</v>
      </c>
      <c r="H62" s="34">
        <f>2501*1.11</f>
        <v>2776.11</v>
      </c>
      <c r="I62" s="109">
        <f t="shared" si="0"/>
        <v>2914.9155000000001</v>
      </c>
      <c r="J62" s="109">
        <f>2980*1.11</f>
        <v>3307.8</v>
      </c>
      <c r="K62" s="34">
        <f t="shared" si="1"/>
        <v>1971.4488000000001</v>
      </c>
      <c r="L62" t="s">
        <v>3250</v>
      </c>
    </row>
    <row r="63" spans="1:12" x14ac:dyDescent="0.25">
      <c r="B63" s="6"/>
      <c r="C63" s="7"/>
      <c r="D63" s="7"/>
      <c r="E63" s="7"/>
      <c r="F63" s="8"/>
      <c r="G63" s="7"/>
      <c r="H63" s="34"/>
      <c r="I63" s="109"/>
      <c r="J63" s="109"/>
      <c r="K63" s="34"/>
    </row>
    <row r="64" spans="1:12" x14ac:dyDescent="0.25">
      <c r="A64" s="59" t="s">
        <v>2947</v>
      </c>
      <c r="B64" s="6" t="s">
        <v>2730</v>
      </c>
      <c r="C64" s="7" t="s">
        <v>2241</v>
      </c>
      <c r="D64" s="7" t="s">
        <v>2242</v>
      </c>
      <c r="E64" s="7" t="s">
        <v>2860</v>
      </c>
      <c r="F64" s="8" t="s">
        <v>2886</v>
      </c>
      <c r="G64" s="7" t="s">
        <v>2232</v>
      </c>
      <c r="H64" s="34">
        <v>838</v>
      </c>
      <c r="I64" s="109">
        <f t="shared" si="0"/>
        <v>879.90000000000009</v>
      </c>
      <c r="J64" s="109">
        <v>998</v>
      </c>
      <c r="K64" s="34">
        <f t="shared" si="1"/>
        <v>594.80799999999999</v>
      </c>
    </row>
    <row r="65" spans="1:12" x14ac:dyDescent="0.25">
      <c r="A65" s="4"/>
      <c r="B65" s="6" t="s">
        <v>2731</v>
      </c>
      <c r="C65" s="7" t="s">
        <v>2243</v>
      </c>
      <c r="D65" s="7" t="s">
        <v>2242</v>
      </c>
      <c r="E65" s="7" t="s">
        <v>2860</v>
      </c>
      <c r="F65" s="8" t="s">
        <v>2886</v>
      </c>
      <c r="G65" s="7" t="s">
        <v>2244</v>
      </c>
      <c r="H65" s="34">
        <f>880*1.11</f>
        <v>976.80000000000007</v>
      </c>
      <c r="I65" s="109">
        <f t="shared" si="0"/>
        <v>1025.6400000000001</v>
      </c>
      <c r="J65" s="109">
        <f>1048*1.11</f>
        <v>1163.2800000000002</v>
      </c>
      <c r="K65" s="34">
        <f t="shared" si="1"/>
        <v>693.31488000000013</v>
      </c>
      <c r="L65" t="s">
        <v>3250</v>
      </c>
    </row>
    <row r="66" spans="1:12" x14ac:dyDescent="0.25">
      <c r="A66" s="59"/>
      <c r="B66" s="6" t="s">
        <v>2732</v>
      </c>
      <c r="C66" s="7" t="s">
        <v>2245</v>
      </c>
      <c r="D66" s="7" t="s">
        <v>2242</v>
      </c>
      <c r="E66" s="7" t="s">
        <v>2860</v>
      </c>
      <c r="F66" s="8" t="s">
        <v>2886</v>
      </c>
      <c r="G66" s="7" t="s">
        <v>2236</v>
      </c>
      <c r="H66" s="34">
        <f>838</f>
        <v>838</v>
      </c>
      <c r="I66" s="109">
        <f t="shared" si="0"/>
        <v>879.90000000000009</v>
      </c>
      <c r="J66" s="109">
        <v>998</v>
      </c>
      <c r="K66" s="34">
        <f t="shared" si="1"/>
        <v>594.80799999999999</v>
      </c>
    </row>
    <row r="67" spans="1:12" x14ac:dyDescent="0.25">
      <c r="B67" s="6" t="s">
        <v>2733</v>
      </c>
      <c r="C67" s="7" t="s">
        <v>2246</v>
      </c>
      <c r="D67" s="7" t="s">
        <v>2242</v>
      </c>
      <c r="E67" s="7" t="s">
        <v>2860</v>
      </c>
      <c r="F67" s="8" t="s">
        <v>2886</v>
      </c>
      <c r="G67" s="7" t="s">
        <v>2889</v>
      </c>
      <c r="H67" s="34">
        <f>838+229</f>
        <v>1067</v>
      </c>
      <c r="I67" s="109">
        <f t="shared" si="0"/>
        <v>1120.3500000000001</v>
      </c>
      <c r="J67" s="109">
        <f>998+261</f>
        <v>1259</v>
      </c>
      <c r="K67" s="34">
        <f t="shared" si="1"/>
        <v>750.36399999999992</v>
      </c>
      <c r="L67" t="s">
        <v>3249</v>
      </c>
    </row>
    <row r="68" spans="1:12" x14ac:dyDescent="0.25">
      <c r="B68" s="6"/>
      <c r="C68" s="7"/>
      <c r="D68" s="7"/>
      <c r="E68" s="7"/>
      <c r="F68" s="8"/>
      <c r="G68" s="7"/>
      <c r="H68" s="7"/>
      <c r="I68" s="109"/>
      <c r="J68" s="109"/>
      <c r="K68" s="34"/>
    </row>
    <row r="69" spans="1:12" x14ac:dyDescent="0.25">
      <c r="B69" s="6" t="s">
        <v>2734</v>
      </c>
      <c r="C69" s="7" t="s">
        <v>2241</v>
      </c>
      <c r="D69" s="7" t="s">
        <v>2247</v>
      </c>
      <c r="E69" s="7" t="s">
        <v>2860</v>
      </c>
      <c r="F69" s="8" t="s">
        <v>2657</v>
      </c>
      <c r="G69" s="7" t="s">
        <v>2232</v>
      </c>
      <c r="H69" s="34">
        <v>905</v>
      </c>
      <c r="I69" s="109">
        <f t="shared" ref="I69:I131" si="2">H69*1.05</f>
        <v>950.25</v>
      </c>
      <c r="J69" s="109">
        <v>1079</v>
      </c>
      <c r="K69" s="34">
        <f t="shared" ref="K69:K91" si="3">J69*0.596</f>
        <v>643.08399999999995</v>
      </c>
      <c r="L69" t="s">
        <v>3249</v>
      </c>
    </row>
    <row r="70" spans="1:12" x14ac:dyDescent="0.25">
      <c r="B70" s="6" t="s">
        <v>2735</v>
      </c>
      <c r="C70" s="7" t="s">
        <v>2243</v>
      </c>
      <c r="D70" s="7" t="s">
        <v>2247</v>
      </c>
      <c r="E70" s="7" t="s">
        <v>2860</v>
      </c>
      <c r="F70" s="8" t="s">
        <v>2657</v>
      </c>
      <c r="G70" s="7" t="s">
        <v>2244</v>
      </c>
      <c r="H70" s="34">
        <f>953*1.11</f>
        <v>1057.8300000000002</v>
      </c>
      <c r="I70" s="109">
        <f t="shared" si="2"/>
        <v>1110.7215000000001</v>
      </c>
      <c r="J70" s="109">
        <f>1136*1.11</f>
        <v>1260.96</v>
      </c>
      <c r="K70" s="34">
        <f t="shared" si="3"/>
        <v>751.53215999999998</v>
      </c>
      <c r="L70" t="s">
        <v>3250</v>
      </c>
    </row>
    <row r="71" spans="1:12" x14ac:dyDescent="0.25">
      <c r="A71" s="59" t="s">
        <v>2948</v>
      </c>
      <c r="B71" s="6" t="s">
        <v>2736</v>
      </c>
      <c r="C71" s="7" t="s">
        <v>2245</v>
      </c>
      <c r="D71" s="7" t="s">
        <v>2247</v>
      </c>
      <c r="E71" s="7" t="s">
        <v>2860</v>
      </c>
      <c r="F71" s="8" t="s">
        <v>2657</v>
      </c>
      <c r="G71" s="7" t="s">
        <v>2236</v>
      </c>
      <c r="H71" s="34">
        <v>905</v>
      </c>
      <c r="I71" s="109">
        <f t="shared" si="2"/>
        <v>950.25</v>
      </c>
      <c r="J71" s="109">
        <v>1079</v>
      </c>
      <c r="K71" s="34">
        <f t="shared" si="3"/>
        <v>643.08399999999995</v>
      </c>
    </row>
    <row r="72" spans="1:12" x14ac:dyDescent="0.25">
      <c r="B72" s="6" t="s">
        <v>2737</v>
      </c>
      <c r="C72" s="7" t="s">
        <v>2246</v>
      </c>
      <c r="D72" s="7" t="s">
        <v>2247</v>
      </c>
      <c r="E72" s="7" t="s">
        <v>2860</v>
      </c>
      <c r="F72" s="8" t="s">
        <v>2657</v>
      </c>
      <c r="G72" s="7" t="s">
        <v>2889</v>
      </c>
      <c r="H72" s="34">
        <f>905+358</f>
        <v>1263</v>
      </c>
      <c r="I72" s="109">
        <f t="shared" si="2"/>
        <v>1326.15</v>
      </c>
      <c r="J72" s="109">
        <f>1079+419</f>
        <v>1498</v>
      </c>
      <c r="K72" s="34">
        <f t="shared" si="3"/>
        <v>892.80799999999999</v>
      </c>
      <c r="L72" t="s">
        <v>3249</v>
      </c>
    </row>
    <row r="73" spans="1:12" x14ac:dyDescent="0.25">
      <c r="B73" s="6"/>
      <c r="C73" s="7"/>
      <c r="D73" s="7"/>
      <c r="E73" s="7"/>
      <c r="F73" s="8"/>
      <c r="G73" s="7"/>
      <c r="H73" s="7"/>
      <c r="I73" s="109"/>
      <c r="J73" s="109"/>
      <c r="K73" s="34"/>
    </row>
    <row r="74" spans="1:12" x14ac:dyDescent="0.25">
      <c r="A74" s="59"/>
      <c r="B74" s="6" t="s">
        <v>2738</v>
      </c>
      <c r="C74" s="7" t="s">
        <v>2248</v>
      </c>
      <c r="D74" s="7" t="s">
        <v>2249</v>
      </c>
      <c r="E74" s="7" t="s">
        <v>2860</v>
      </c>
      <c r="F74" s="8" t="s">
        <v>2887</v>
      </c>
      <c r="G74" s="7" t="s">
        <v>2250</v>
      </c>
      <c r="H74" s="34">
        <v>892</v>
      </c>
      <c r="I74" s="109">
        <f t="shared" si="2"/>
        <v>936.6</v>
      </c>
      <c r="J74" s="109">
        <v>1062</v>
      </c>
      <c r="K74" s="34">
        <f t="shared" si="3"/>
        <v>632.952</v>
      </c>
      <c r="L74" t="s">
        <v>3249</v>
      </c>
    </row>
    <row r="75" spans="1:12" x14ac:dyDescent="0.25">
      <c r="A75" s="4"/>
      <c r="B75" s="6" t="s">
        <v>2739</v>
      </c>
      <c r="C75" s="7" t="s">
        <v>2248</v>
      </c>
      <c r="D75" s="7" t="s">
        <v>2251</v>
      </c>
      <c r="E75" s="7" t="s">
        <v>2860</v>
      </c>
      <c r="F75" s="8" t="s">
        <v>2888</v>
      </c>
      <c r="G75" s="7" t="s">
        <v>2250</v>
      </c>
      <c r="H75" s="34">
        <v>953</v>
      </c>
      <c r="I75" s="109">
        <f t="shared" si="2"/>
        <v>1000.6500000000001</v>
      </c>
      <c r="J75" s="109">
        <v>1136</v>
      </c>
      <c r="K75" s="34">
        <f t="shared" si="3"/>
        <v>677.05599999999993</v>
      </c>
      <c r="L75" t="s">
        <v>3249</v>
      </c>
    </row>
    <row r="76" spans="1:12" x14ac:dyDescent="0.25">
      <c r="B76" s="6" t="s">
        <v>2740</v>
      </c>
      <c r="C76" s="7" t="s">
        <v>2252</v>
      </c>
      <c r="D76" s="7" t="s">
        <v>2249</v>
      </c>
      <c r="E76" s="7" t="s">
        <v>2860</v>
      </c>
      <c r="F76" s="8" t="s">
        <v>2887</v>
      </c>
      <c r="G76" s="7" t="s">
        <v>2253</v>
      </c>
      <c r="H76" s="34">
        <f>948*1.11</f>
        <v>1052.2800000000002</v>
      </c>
      <c r="I76" s="109">
        <f t="shared" si="2"/>
        <v>1104.8940000000002</v>
      </c>
      <c r="J76" s="109">
        <f>1130*1.11</f>
        <v>1254.3000000000002</v>
      </c>
      <c r="K76" s="34">
        <f t="shared" si="3"/>
        <v>747.56280000000004</v>
      </c>
      <c r="L76" t="s">
        <v>3250</v>
      </c>
    </row>
    <row r="77" spans="1:12" x14ac:dyDescent="0.25">
      <c r="A77" s="59" t="s">
        <v>2949</v>
      </c>
      <c r="B77" s="6" t="s">
        <v>2741</v>
      </c>
      <c r="C77" s="7" t="s">
        <v>2252</v>
      </c>
      <c r="D77" s="7" t="s">
        <v>2251</v>
      </c>
      <c r="E77" s="7" t="s">
        <v>2860</v>
      </c>
      <c r="F77" s="8" t="s">
        <v>2888</v>
      </c>
      <c r="G77" s="7" t="s">
        <v>2253</v>
      </c>
      <c r="H77" s="34">
        <f>1005*1.11</f>
        <v>1115.5500000000002</v>
      </c>
      <c r="I77" s="109">
        <f t="shared" si="2"/>
        <v>1171.3275000000003</v>
      </c>
      <c r="J77" s="109">
        <f>1198*1.11</f>
        <v>1329.7800000000002</v>
      </c>
      <c r="K77" s="34">
        <f t="shared" si="3"/>
        <v>792.54888000000005</v>
      </c>
      <c r="L77" t="s">
        <v>3250</v>
      </c>
    </row>
    <row r="78" spans="1:12" x14ac:dyDescent="0.25">
      <c r="B78" s="6" t="s">
        <v>2742</v>
      </c>
      <c r="C78" s="7" t="s">
        <v>2254</v>
      </c>
      <c r="D78" s="7" t="s">
        <v>2249</v>
      </c>
      <c r="E78" s="7" t="s">
        <v>2860</v>
      </c>
      <c r="F78" s="8" t="s">
        <v>2887</v>
      </c>
      <c r="G78" s="7" t="s">
        <v>2255</v>
      </c>
      <c r="H78" s="34">
        <v>892</v>
      </c>
      <c r="I78" s="109">
        <f t="shared" si="2"/>
        <v>936.6</v>
      </c>
      <c r="J78" s="109">
        <v>1062</v>
      </c>
      <c r="K78" s="34">
        <f t="shared" si="3"/>
        <v>632.952</v>
      </c>
    </row>
    <row r="79" spans="1:12" x14ac:dyDescent="0.25">
      <c r="B79" s="6" t="s">
        <v>2743</v>
      </c>
      <c r="C79" s="7" t="s">
        <v>2254</v>
      </c>
      <c r="D79" s="7" t="s">
        <v>2251</v>
      </c>
      <c r="E79" s="7" t="s">
        <v>2860</v>
      </c>
      <c r="F79" s="8" t="s">
        <v>2888</v>
      </c>
      <c r="G79" s="7" t="s">
        <v>2255</v>
      </c>
      <c r="H79" s="34">
        <v>953</v>
      </c>
      <c r="I79" s="109">
        <f t="shared" si="2"/>
        <v>1000.6500000000001</v>
      </c>
      <c r="J79" s="109">
        <v>1136</v>
      </c>
      <c r="K79" s="34">
        <f t="shared" si="3"/>
        <v>677.05599999999993</v>
      </c>
    </row>
    <row r="80" spans="1:12" x14ac:dyDescent="0.25">
      <c r="A80" s="59"/>
      <c r="B80" s="6" t="s">
        <v>2744</v>
      </c>
      <c r="C80" s="7" t="s">
        <v>2256</v>
      </c>
      <c r="D80" s="7" t="s">
        <v>2249</v>
      </c>
      <c r="E80" s="7" t="s">
        <v>2860</v>
      </c>
      <c r="F80" s="8" t="s">
        <v>2887</v>
      </c>
      <c r="G80" s="7" t="s">
        <v>2889</v>
      </c>
      <c r="H80" s="34">
        <f>892+221</f>
        <v>1113</v>
      </c>
      <c r="I80" s="109">
        <f t="shared" si="2"/>
        <v>1168.6500000000001</v>
      </c>
      <c r="J80" s="109">
        <f>1062+250</f>
        <v>1312</v>
      </c>
      <c r="K80" s="34">
        <f t="shared" si="3"/>
        <v>781.952</v>
      </c>
      <c r="L80" t="s">
        <v>3249</v>
      </c>
    </row>
    <row r="81" spans="1:12" x14ac:dyDescent="0.25">
      <c r="B81" s="6" t="s">
        <v>2745</v>
      </c>
      <c r="C81" s="7" t="s">
        <v>2256</v>
      </c>
      <c r="D81" s="7" t="s">
        <v>2251</v>
      </c>
      <c r="E81" s="7" t="s">
        <v>2860</v>
      </c>
      <c r="F81" s="8" t="s">
        <v>2888</v>
      </c>
      <c r="G81" s="7" t="s">
        <v>2889</v>
      </c>
      <c r="H81" s="34">
        <f>953+338</f>
        <v>1291</v>
      </c>
      <c r="I81" s="109">
        <f t="shared" si="2"/>
        <v>1355.55</v>
      </c>
      <c r="J81" s="109">
        <f>1136+374</f>
        <v>1510</v>
      </c>
      <c r="K81" s="34">
        <f t="shared" si="3"/>
        <v>899.95999999999992</v>
      </c>
      <c r="L81" t="s">
        <v>3249</v>
      </c>
    </row>
    <row r="82" spans="1:12" x14ac:dyDescent="0.25">
      <c r="A82" s="59" t="s">
        <v>2950</v>
      </c>
      <c r="B82" s="6"/>
      <c r="C82" s="7"/>
      <c r="D82" s="7"/>
      <c r="E82" s="7"/>
      <c r="F82" s="8"/>
      <c r="G82" s="7"/>
      <c r="H82" s="7"/>
      <c r="I82" s="109"/>
      <c r="J82" s="109"/>
      <c r="K82" s="34"/>
    </row>
    <row r="83" spans="1:12" x14ac:dyDescent="0.25">
      <c r="A83" s="4"/>
      <c r="B83" s="6" t="s">
        <v>2746</v>
      </c>
      <c r="C83" s="7" t="s">
        <v>2257</v>
      </c>
      <c r="D83" s="7" t="s">
        <v>2258</v>
      </c>
      <c r="E83" s="7" t="s">
        <v>2864</v>
      </c>
      <c r="F83" s="36" t="s">
        <v>2658</v>
      </c>
      <c r="G83" s="7" t="s">
        <v>2259</v>
      </c>
      <c r="H83" s="34">
        <f>845*1.11</f>
        <v>937.95</v>
      </c>
      <c r="I83" s="109">
        <f t="shared" si="2"/>
        <v>984.84750000000008</v>
      </c>
      <c r="J83" s="109">
        <v>1008</v>
      </c>
      <c r="K83" s="34">
        <f t="shared" si="3"/>
        <v>600.76800000000003</v>
      </c>
      <c r="L83" t="s">
        <v>3249</v>
      </c>
    </row>
    <row r="84" spans="1:12" x14ac:dyDescent="0.25">
      <c r="A84" s="4"/>
      <c r="B84" s="6" t="s">
        <v>2747</v>
      </c>
      <c r="C84" s="7" t="s">
        <v>2257</v>
      </c>
      <c r="D84" s="7" t="s">
        <v>2260</v>
      </c>
      <c r="E84" s="7" t="s">
        <v>2864</v>
      </c>
      <c r="F84" s="36" t="s">
        <v>2659</v>
      </c>
      <c r="G84" s="7" t="s">
        <v>2261</v>
      </c>
      <c r="H84" s="34">
        <f t="shared" ref="H84" si="4">845*1.11</f>
        <v>937.95</v>
      </c>
      <c r="I84" s="109">
        <f t="shared" si="2"/>
        <v>984.84750000000008</v>
      </c>
      <c r="J84" s="109">
        <v>1008</v>
      </c>
      <c r="K84" s="34">
        <f t="shared" si="3"/>
        <v>600.76800000000003</v>
      </c>
      <c r="L84" t="s">
        <v>3249</v>
      </c>
    </row>
    <row r="85" spans="1:12" x14ac:dyDescent="0.25">
      <c r="B85" s="6" t="s">
        <v>2748</v>
      </c>
      <c r="C85" s="7" t="s">
        <v>2257</v>
      </c>
      <c r="D85" s="7" t="s">
        <v>2262</v>
      </c>
      <c r="E85" s="7" t="s">
        <v>2864</v>
      </c>
      <c r="F85" s="36" t="s">
        <v>2660</v>
      </c>
      <c r="G85" s="7" t="s">
        <v>2259</v>
      </c>
      <c r="H85" s="34">
        <f>974*1.11</f>
        <v>1081.1400000000001</v>
      </c>
      <c r="I85" s="109">
        <f t="shared" si="2"/>
        <v>1135.1970000000001</v>
      </c>
      <c r="J85" s="109">
        <v>1161</v>
      </c>
      <c r="K85" s="34">
        <f t="shared" si="3"/>
        <v>691.95600000000002</v>
      </c>
      <c r="L85" t="s">
        <v>3249</v>
      </c>
    </row>
    <row r="86" spans="1:12" x14ac:dyDescent="0.25">
      <c r="B86" s="6" t="s">
        <v>2749</v>
      </c>
      <c r="C86" s="7" t="s">
        <v>2257</v>
      </c>
      <c r="D86" s="7" t="s">
        <v>2262</v>
      </c>
      <c r="E86" s="7" t="s">
        <v>2864</v>
      </c>
      <c r="F86" s="36" t="s">
        <v>3248</v>
      </c>
      <c r="G86" s="7" t="s">
        <v>2261</v>
      </c>
      <c r="H86" s="34">
        <f>974*1.11</f>
        <v>1081.1400000000001</v>
      </c>
      <c r="I86" s="109">
        <f t="shared" si="2"/>
        <v>1135.1970000000001</v>
      </c>
      <c r="J86" s="109">
        <v>1161</v>
      </c>
      <c r="K86" s="34">
        <f t="shared" si="3"/>
        <v>691.95600000000002</v>
      </c>
      <c r="L86" t="s">
        <v>3249</v>
      </c>
    </row>
    <row r="87" spans="1:12" x14ac:dyDescent="0.25">
      <c r="A87" s="59"/>
      <c r="B87" s="6"/>
      <c r="C87" s="7"/>
      <c r="D87" s="7"/>
      <c r="E87" s="7"/>
      <c r="F87" s="36"/>
      <c r="G87" s="7"/>
      <c r="H87" s="7"/>
      <c r="I87" s="109"/>
      <c r="J87" s="109"/>
      <c r="K87" s="34"/>
    </row>
    <row r="88" spans="1:12" x14ac:dyDescent="0.25">
      <c r="B88" s="6" t="s">
        <v>2750</v>
      </c>
      <c r="C88" s="7" t="s">
        <v>2263</v>
      </c>
      <c r="D88" s="7" t="s">
        <v>2264</v>
      </c>
      <c r="E88" s="7" t="s">
        <v>2864</v>
      </c>
      <c r="F88" s="36" t="s">
        <v>2661</v>
      </c>
      <c r="G88" s="7" t="s">
        <v>2265</v>
      </c>
      <c r="H88" s="38">
        <f>900*1.11</f>
        <v>999.00000000000011</v>
      </c>
      <c r="I88" s="109">
        <f t="shared" si="2"/>
        <v>1048.9500000000003</v>
      </c>
      <c r="J88" s="109">
        <v>1072</v>
      </c>
      <c r="K88" s="34">
        <f t="shared" si="3"/>
        <v>638.91199999999992</v>
      </c>
      <c r="L88" t="s">
        <v>3249</v>
      </c>
    </row>
    <row r="89" spans="1:12" x14ac:dyDescent="0.25">
      <c r="B89" s="6" t="s">
        <v>2751</v>
      </c>
      <c r="C89" s="7" t="s">
        <v>2263</v>
      </c>
      <c r="D89" s="7" t="s">
        <v>2266</v>
      </c>
      <c r="E89" s="7" t="s">
        <v>2864</v>
      </c>
      <c r="F89" s="37" t="s">
        <v>2662</v>
      </c>
      <c r="G89" s="7" t="s">
        <v>2267</v>
      </c>
      <c r="H89" s="38">
        <f>900*1.11</f>
        <v>999.00000000000011</v>
      </c>
      <c r="I89" s="109">
        <f t="shared" si="2"/>
        <v>1048.9500000000003</v>
      </c>
      <c r="J89" s="109">
        <v>1072</v>
      </c>
      <c r="K89" s="34">
        <f t="shared" si="3"/>
        <v>638.91199999999992</v>
      </c>
      <c r="L89" t="s">
        <v>3249</v>
      </c>
    </row>
    <row r="90" spans="1:12" x14ac:dyDescent="0.25">
      <c r="A90" t="s">
        <v>2951</v>
      </c>
      <c r="B90" s="6" t="s">
        <v>2752</v>
      </c>
      <c r="C90" s="7" t="s">
        <v>2263</v>
      </c>
      <c r="D90" s="7" t="s">
        <v>2268</v>
      </c>
      <c r="E90" s="7" t="s">
        <v>2864</v>
      </c>
      <c r="F90" s="37" t="s">
        <v>2663</v>
      </c>
      <c r="G90" s="7" t="s">
        <v>2265</v>
      </c>
      <c r="H90" s="38">
        <f>1021*1.11</f>
        <v>1133.3100000000002</v>
      </c>
      <c r="I90" s="109">
        <f t="shared" si="2"/>
        <v>1189.9755000000002</v>
      </c>
      <c r="J90" s="109">
        <v>1217</v>
      </c>
      <c r="K90" s="34">
        <f t="shared" si="3"/>
        <v>725.33199999999999</v>
      </c>
      <c r="L90" t="s">
        <v>3249</v>
      </c>
    </row>
    <row r="91" spans="1:12" x14ac:dyDescent="0.25">
      <c r="B91" s="6" t="s">
        <v>2753</v>
      </c>
      <c r="C91" s="7" t="s">
        <v>2263</v>
      </c>
      <c r="D91" s="7" t="s">
        <v>2269</v>
      </c>
      <c r="E91" s="7" t="s">
        <v>2864</v>
      </c>
      <c r="F91" s="37" t="s">
        <v>2664</v>
      </c>
      <c r="G91" s="7" t="s">
        <v>2267</v>
      </c>
      <c r="H91" s="38">
        <f>1021*1.11</f>
        <v>1133.3100000000002</v>
      </c>
      <c r="I91" s="109">
        <f t="shared" si="2"/>
        <v>1189.9755000000002</v>
      </c>
      <c r="J91" s="109">
        <v>1217</v>
      </c>
      <c r="K91" s="34">
        <f t="shared" si="3"/>
        <v>725.33199999999999</v>
      </c>
      <c r="L91" t="s">
        <v>3249</v>
      </c>
    </row>
    <row r="92" spans="1:12" s="62" customFormat="1" x14ac:dyDescent="0.25">
      <c r="A92" s="62" t="s">
        <v>2956</v>
      </c>
      <c r="B92" s="75" t="s">
        <v>2955</v>
      </c>
      <c r="C92" s="63"/>
      <c r="D92" s="63"/>
      <c r="E92" s="63"/>
      <c r="F92" s="85"/>
      <c r="G92" s="63"/>
      <c r="H92" s="63"/>
      <c r="I92" s="108"/>
      <c r="J92" s="108"/>
      <c r="K92" s="65"/>
    </row>
    <row r="93" spans="1:12" x14ac:dyDescent="0.25">
      <c r="A93" s="4"/>
      <c r="B93" s="6" t="s">
        <v>2754</v>
      </c>
      <c r="C93" s="7" t="s">
        <v>2270</v>
      </c>
      <c r="D93" s="7" t="s">
        <v>2271</v>
      </c>
      <c r="E93" s="7" t="s">
        <v>2867</v>
      </c>
      <c r="F93" s="8" t="s">
        <v>2665</v>
      </c>
      <c r="G93" s="7" t="s">
        <v>2272</v>
      </c>
      <c r="H93" s="34">
        <f>3586.8*1.11</f>
        <v>3981.3480000000004</v>
      </c>
      <c r="I93" s="109">
        <f t="shared" si="2"/>
        <v>4180.4154000000008</v>
      </c>
      <c r="J93" s="109">
        <f>J94+361</f>
        <v>4272.76</v>
      </c>
      <c r="K93" s="34">
        <f>J93*0.596</f>
        <v>2546.5649600000002</v>
      </c>
      <c r="L93" t="s">
        <v>3249</v>
      </c>
    </row>
    <row r="94" spans="1:12" x14ac:dyDescent="0.25">
      <c r="A94" s="4"/>
      <c r="B94" s="6" t="s">
        <v>2755</v>
      </c>
      <c r="C94" s="7" t="s">
        <v>2273</v>
      </c>
      <c r="D94" s="7" t="s">
        <v>2271</v>
      </c>
      <c r="E94" s="7" t="s">
        <v>2867</v>
      </c>
      <c r="F94" s="8" t="s">
        <v>2665</v>
      </c>
      <c r="G94" s="7" t="s">
        <v>2274</v>
      </c>
      <c r="H94" s="34">
        <f>3284.4*1.11</f>
        <v>3645.6840000000002</v>
      </c>
      <c r="I94" s="109">
        <f t="shared" si="2"/>
        <v>3827.9682000000003</v>
      </c>
      <c r="J94" s="109">
        <f>3622*1.08</f>
        <v>3911.76</v>
      </c>
      <c r="K94" s="34">
        <f t="shared" ref="K94:K157" si="5">J94*0.596</f>
        <v>2331.4089600000002</v>
      </c>
      <c r="L94" t="s">
        <v>3249</v>
      </c>
    </row>
    <row r="95" spans="1:12" x14ac:dyDescent="0.25">
      <c r="B95" s="6" t="s">
        <v>2756</v>
      </c>
      <c r="C95" s="7" t="s">
        <v>2275</v>
      </c>
      <c r="D95" s="7" t="s">
        <v>2276</v>
      </c>
      <c r="E95" s="7" t="s">
        <v>2867</v>
      </c>
      <c r="F95" s="8" t="s">
        <v>2666</v>
      </c>
      <c r="G95" s="7" t="s">
        <v>2272</v>
      </c>
      <c r="H95" s="34">
        <f>3660.3*1.11</f>
        <v>4062.9330000000004</v>
      </c>
      <c r="I95" s="109">
        <f t="shared" si="2"/>
        <v>4266.0796500000006</v>
      </c>
      <c r="J95" s="109">
        <f>J96+361</f>
        <v>4360.24</v>
      </c>
      <c r="K95" s="34">
        <f t="shared" si="5"/>
        <v>2598.7030399999999</v>
      </c>
      <c r="L95" t="s">
        <v>3249</v>
      </c>
    </row>
    <row r="96" spans="1:12" x14ac:dyDescent="0.25">
      <c r="B96" s="6" t="s">
        <v>2757</v>
      </c>
      <c r="C96" s="7" t="s">
        <v>2277</v>
      </c>
      <c r="D96" s="7" t="s">
        <v>2276</v>
      </c>
      <c r="E96" s="7" t="s">
        <v>2867</v>
      </c>
      <c r="F96" s="8" t="s">
        <v>2666</v>
      </c>
      <c r="G96" s="7" t="s">
        <v>2274</v>
      </c>
      <c r="H96" s="34">
        <f>3357.9*1.11</f>
        <v>3727.2690000000002</v>
      </c>
      <c r="I96" s="109">
        <f t="shared" si="2"/>
        <v>3913.6324500000005</v>
      </c>
      <c r="J96" s="109">
        <f>3703*1.08</f>
        <v>3999.2400000000002</v>
      </c>
      <c r="K96" s="34">
        <f t="shared" si="5"/>
        <v>2383.5470399999999</v>
      </c>
      <c r="L96" t="s">
        <v>3249</v>
      </c>
    </row>
    <row r="97" spans="1:12" x14ac:dyDescent="0.25">
      <c r="B97" s="6" t="s">
        <v>2758</v>
      </c>
      <c r="C97" s="7" t="s">
        <v>2270</v>
      </c>
      <c r="D97" s="7" t="s">
        <v>2278</v>
      </c>
      <c r="E97" s="7" t="s">
        <v>2867</v>
      </c>
      <c r="F97" s="8" t="s">
        <v>2667</v>
      </c>
      <c r="G97" s="7" t="s">
        <v>2272</v>
      </c>
      <c r="H97" s="34">
        <f>3792.08*1.11</f>
        <v>4209.2088000000003</v>
      </c>
      <c r="I97" s="109">
        <f t="shared" si="2"/>
        <v>4419.6692400000002</v>
      </c>
      <c r="J97" s="109">
        <f>J98+361</f>
        <v>4517.92</v>
      </c>
      <c r="K97" s="34">
        <f t="shared" si="5"/>
        <v>2692.6803199999999</v>
      </c>
      <c r="L97" t="s">
        <v>3249</v>
      </c>
    </row>
    <row r="98" spans="1:12" x14ac:dyDescent="0.25">
      <c r="B98" s="6" t="s">
        <v>2759</v>
      </c>
      <c r="C98" s="7" t="s">
        <v>2273</v>
      </c>
      <c r="D98" s="7" t="s">
        <v>2278</v>
      </c>
      <c r="E98" s="7" t="s">
        <v>2867</v>
      </c>
      <c r="F98" s="8" t="s">
        <v>2667</v>
      </c>
      <c r="G98" s="7" t="s">
        <v>2274</v>
      </c>
      <c r="H98" s="34">
        <f>3489.68*1.11</f>
        <v>3873.5448000000001</v>
      </c>
      <c r="I98" s="109">
        <f t="shared" si="2"/>
        <v>4067.2220400000001</v>
      </c>
      <c r="J98" s="109">
        <f>3849*1.08</f>
        <v>4156.92</v>
      </c>
      <c r="K98" s="34">
        <f t="shared" si="5"/>
        <v>2477.52432</v>
      </c>
      <c r="L98" t="s">
        <v>3249</v>
      </c>
    </row>
    <row r="99" spans="1:12" x14ac:dyDescent="0.25">
      <c r="B99" s="6" t="s">
        <v>2760</v>
      </c>
      <c r="C99" s="7" t="s">
        <v>2275</v>
      </c>
      <c r="D99" s="7" t="s">
        <v>2279</v>
      </c>
      <c r="E99" s="7" t="s">
        <v>2867</v>
      </c>
      <c r="F99" s="8" t="s">
        <v>2668</v>
      </c>
      <c r="G99" s="7" t="s">
        <v>2272</v>
      </c>
      <c r="H99" s="34">
        <f>3870.3*1.11</f>
        <v>4296.0330000000004</v>
      </c>
      <c r="I99" s="109">
        <f t="shared" si="2"/>
        <v>4510.8346500000007</v>
      </c>
      <c r="J99" s="109">
        <f>J100+361</f>
        <v>4610.8</v>
      </c>
      <c r="K99" s="34">
        <f t="shared" si="5"/>
        <v>2748.0367999999999</v>
      </c>
      <c r="L99" t="s">
        <v>3249</v>
      </c>
    </row>
    <row r="100" spans="1:12" x14ac:dyDescent="0.25">
      <c r="B100" s="6" t="s">
        <v>2761</v>
      </c>
      <c r="C100" s="7" t="s">
        <v>2277</v>
      </c>
      <c r="D100" s="7" t="s">
        <v>2279</v>
      </c>
      <c r="E100" s="7" t="s">
        <v>2867</v>
      </c>
      <c r="F100" s="8" t="s">
        <v>2668</v>
      </c>
      <c r="G100" s="7" t="s">
        <v>2274</v>
      </c>
      <c r="H100" s="34">
        <f>3567.9*1.11</f>
        <v>3960.3690000000006</v>
      </c>
      <c r="I100" s="109">
        <f t="shared" si="2"/>
        <v>4158.3874500000011</v>
      </c>
      <c r="J100" s="109">
        <f>3935*1.08</f>
        <v>4249.8</v>
      </c>
      <c r="K100" s="34">
        <f t="shared" si="5"/>
        <v>2532.8807999999999</v>
      </c>
      <c r="L100" t="s">
        <v>3249</v>
      </c>
    </row>
    <row r="101" spans="1:12" x14ac:dyDescent="0.25">
      <c r="B101" s="6" t="s">
        <v>2762</v>
      </c>
      <c r="C101" s="7" t="s">
        <v>2270</v>
      </c>
      <c r="D101" s="7" t="s">
        <v>2280</v>
      </c>
      <c r="E101" s="7" t="s">
        <v>2867</v>
      </c>
      <c r="F101" s="8" t="s">
        <v>2669</v>
      </c>
      <c r="G101" s="7" t="s">
        <v>2272</v>
      </c>
      <c r="H101" s="34">
        <f>4173.75*1.11</f>
        <v>4632.8625000000002</v>
      </c>
      <c r="I101" s="109">
        <f t="shared" si="2"/>
        <v>4864.5056250000007</v>
      </c>
      <c r="J101" s="109">
        <f>J102+361</f>
        <v>4972.6000000000004</v>
      </c>
      <c r="K101" s="34">
        <f t="shared" si="5"/>
        <v>2963.6696000000002</v>
      </c>
      <c r="L101" t="s">
        <v>3249</v>
      </c>
    </row>
    <row r="102" spans="1:12" x14ac:dyDescent="0.25">
      <c r="B102" s="6" t="s">
        <v>2763</v>
      </c>
      <c r="C102" s="7" t="s">
        <v>2273</v>
      </c>
      <c r="D102" s="7" t="s">
        <v>2280</v>
      </c>
      <c r="E102" s="7" t="s">
        <v>2867</v>
      </c>
      <c r="F102" s="8" t="s">
        <v>2669</v>
      </c>
      <c r="G102" s="7" t="s">
        <v>2274</v>
      </c>
      <c r="H102" s="34">
        <f>3871.35*1.11</f>
        <v>4297.1985000000004</v>
      </c>
      <c r="I102" s="109">
        <f t="shared" si="2"/>
        <v>4512.0584250000011</v>
      </c>
      <c r="J102" s="109">
        <f>4270*1.08</f>
        <v>4611.6000000000004</v>
      </c>
      <c r="K102" s="34">
        <f t="shared" si="5"/>
        <v>2748.5136000000002</v>
      </c>
      <c r="L102" t="s">
        <v>3249</v>
      </c>
    </row>
    <row r="103" spans="1:12" x14ac:dyDescent="0.25">
      <c r="A103" t="s">
        <v>2952</v>
      </c>
      <c r="B103" s="6" t="s">
        <v>2764</v>
      </c>
      <c r="C103" s="7" t="s">
        <v>2275</v>
      </c>
      <c r="D103" s="7" t="s">
        <v>2281</v>
      </c>
      <c r="E103" s="7" t="s">
        <v>2867</v>
      </c>
      <c r="F103" s="8" t="s">
        <v>2670</v>
      </c>
      <c r="G103" s="7" t="s">
        <v>2272</v>
      </c>
      <c r="H103" s="34">
        <f>4260.9*1.11</f>
        <v>4729.5990000000002</v>
      </c>
      <c r="I103" s="109">
        <f t="shared" si="2"/>
        <v>4966.0789500000001</v>
      </c>
      <c r="J103" s="109">
        <f>J104+361</f>
        <v>5075.2000000000007</v>
      </c>
      <c r="K103" s="34">
        <f t="shared" si="5"/>
        <v>3024.8192000000004</v>
      </c>
      <c r="L103" t="s">
        <v>3249</v>
      </c>
    </row>
    <row r="104" spans="1:12" x14ac:dyDescent="0.25">
      <c r="B104" s="6" t="s">
        <v>2765</v>
      </c>
      <c r="C104" s="7" t="s">
        <v>2277</v>
      </c>
      <c r="D104" s="7" t="s">
        <v>2281</v>
      </c>
      <c r="E104" s="7" t="s">
        <v>2867</v>
      </c>
      <c r="F104" s="8" t="s">
        <v>2670</v>
      </c>
      <c r="G104" s="7" t="s">
        <v>2274</v>
      </c>
      <c r="H104" s="34">
        <f>3958.5*1.11</f>
        <v>4393.9350000000004</v>
      </c>
      <c r="I104" s="109">
        <f t="shared" si="2"/>
        <v>4613.6317500000005</v>
      </c>
      <c r="J104" s="109">
        <f>4365*1.08</f>
        <v>4714.2000000000007</v>
      </c>
      <c r="K104" s="34">
        <f t="shared" si="5"/>
        <v>2809.6632000000004</v>
      </c>
      <c r="L104" t="s">
        <v>3249</v>
      </c>
    </row>
    <row r="105" spans="1:12" x14ac:dyDescent="0.25">
      <c r="B105" s="6" t="s">
        <v>2766</v>
      </c>
      <c r="C105" s="7" t="s">
        <v>2270</v>
      </c>
      <c r="D105" s="7" t="s">
        <v>2282</v>
      </c>
      <c r="E105" s="7" t="s">
        <v>2867</v>
      </c>
      <c r="F105" s="8" t="s">
        <v>2671</v>
      </c>
      <c r="G105" s="7" t="s">
        <v>2272</v>
      </c>
      <c r="H105" s="34">
        <f>4694.8*1.11</f>
        <v>5211.228000000001</v>
      </c>
      <c r="I105" s="109">
        <f t="shared" si="2"/>
        <v>5471.7894000000015</v>
      </c>
      <c r="J105" s="109">
        <f>J106+361</f>
        <v>5473.72</v>
      </c>
      <c r="K105" s="34">
        <f t="shared" si="5"/>
        <v>3262.3371200000001</v>
      </c>
      <c r="L105" t="s">
        <v>3249</v>
      </c>
    </row>
    <row r="106" spans="1:12" x14ac:dyDescent="0.25">
      <c r="B106" s="6" t="s">
        <v>2767</v>
      </c>
      <c r="C106" s="7" t="s">
        <v>2273</v>
      </c>
      <c r="D106" s="7" t="s">
        <v>2282</v>
      </c>
      <c r="E106" s="7" t="s">
        <v>2867</v>
      </c>
      <c r="F106" s="8" t="s">
        <v>2671</v>
      </c>
      <c r="G106" s="7" t="s">
        <v>2274</v>
      </c>
      <c r="H106" s="34">
        <f>4292.4*1.11</f>
        <v>4764.5640000000003</v>
      </c>
      <c r="I106" s="109">
        <f t="shared" si="2"/>
        <v>5002.7922000000008</v>
      </c>
      <c r="J106" s="109">
        <f>4734*1.08</f>
        <v>5112.72</v>
      </c>
      <c r="K106" s="34">
        <f t="shared" si="5"/>
        <v>3047.1811200000002</v>
      </c>
      <c r="L106" t="s">
        <v>3249</v>
      </c>
    </row>
    <row r="107" spans="1:12" x14ac:dyDescent="0.25">
      <c r="B107" s="6" t="s">
        <v>2768</v>
      </c>
      <c r="C107" s="7" t="s">
        <v>2275</v>
      </c>
      <c r="D107" s="7" t="s">
        <v>2283</v>
      </c>
      <c r="E107" s="7" t="s">
        <v>2867</v>
      </c>
      <c r="F107" s="8" t="s">
        <v>2672</v>
      </c>
      <c r="G107" s="7" t="s">
        <v>2272</v>
      </c>
      <c r="H107" s="34">
        <f>4676.7*1.11</f>
        <v>5191.1370000000006</v>
      </c>
      <c r="I107" s="109">
        <f t="shared" si="2"/>
        <v>5450.6938500000006</v>
      </c>
      <c r="J107" s="109">
        <f>J108+361</f>
        <v>5570.92</v>
      </c>
      <c r="K107" s="34">
        <f t="shared" si="5"/>
        <v>3320.2683199999997</v>
      </c>
      <c r="L107" t="s">
        <v>3249</v>
      </c>
    </row>
    <row r="108" spans="1:12" x14ac:dyDescent="0.25">
      <c r="B108" s="6" t="s">
        <v>2769</v>
      </c>
      <c r="C108" s="7" t="s">
        <v>2277</v>
      </c>
      <c r="D108" s="7" t="s">
        <v>2284</v>
      </c>
      <c r="E108" s="7" t="s">
        <v>2867</v>
      </c>
      <c r="F108" s="8" t="s">
        <v>2672</v>
      </c>
      <c r="G108" s="7" t="s">
        <v>2274</v>
      </c>
      <c r="H108" s="34">
        <f>4374.3*1.11</f>
        <v>4855.4730000000009</v>
      </c>
      <c r="I108" s="109">
        <f t="shared" si="2"/>
        <v>5098.246650000001</v>
      </c>
      <c r="J108" s="109">
        <f>4824*1.08</f>
        <v>5209.92</v>
      </c>
      <c r="K108" s="34">
        <f t="shared" si="5"/>
        <v>3105.1123199999997</v>
      </c>
      <c r="L108" t="s">
        <v>3249</v>
      </c>
    </row>
    <row r="109" spans="1:12" x14ac:dyDescent="0.25">
      <c r="B109" s="6" t="s">
        <v>2770</v>
      </c>
      <c r="C109" s="7" t="s">
        <v>2270</v>
      </c>
      <c r="D109" s="7" t="s">
        <v>2285</v>
      </c>
      <c r="E109" s="7" t="s">
        <v>2867</v>
      </c>
      <c r="F109" s="8" t="s">
        <v>2673</v>
      </c>
      <c r="G109" s="7" t="s">
        <v>2272</v>
      </c>
      <c r="H109" s="34">
        <f>3931.73*1.11</f>
        <v>4364.2203</v>
      </c>
      <c r="I109" s="109">
        <f t="shared" si="2"/>
        <v>4582.4313149999998</v>
      </c>
      <c r="J109" s="109">
        <f>J110+361</f>
        <v>4684.2400000000007</v>
      </c>
      <c r="K109" s="34">
        <f t="shared" si="5"/>
        <v>2791.8070400000001</v>
      </c>
      <c r="L109" t="s">
        <v>3249</v>
      </c>
    </row>
    <row r="110" spans="1:12" x14ac:dyDescent="0.25">
      <c r="B110" s="6" t="s">
        <v>2771</v>
      </c>
      <c r="C110" s="7" t="s">
        <v>2273</v>
      </c>
      <c r="D110" s="7" t="s">
        <v>2285</v>
      </c>
      <c r="E110" s="7" t="s">
        <v>2867</v>
      </c>
      <c r="F110" s="8" t="s">
        <v>2673</v>
      </c>
      <c r="G110" s="7" t="s">
        <v>2274</v>
      </c>
      <c r="H110" s="34">
        <f>3629.33*1.11</f>
        <v>4028.5563000000002</v>
      </c>
      <c r="I110" s="109">
        <f t="shared" si="2"/>
        <v>4229.9841150000002</v>
      </c>
      <c r="J110" s="109">
        <f>4003*1.08</f>
        <v>4323.2400000000007</v>
      </c>
      <c r="K110" s="34">
        <f t="shared" si="5"/>
        <v>2576.6510400000002</v>
      </c>
      <c r="L110" t="s">
        <v>3249</v>
      </c>
    </row>
    <row r="111" spans="1:12" x14ac:dyDescent="0.25">
      <c r="B111" s="6" t="s">
        <v>2772</v>
      </c>
      <c r="C111" s="7" t="s">
        <v>2275</v>
      </c>
      <c r="D111" s="7" t="s">
        <v>2286</v>
      </c>
      <c r="E111" s="7" t="s">
        <v>2867</v>
      </c>
      <c r="F111" s="8" t="s">
        <v>2674</v>
      </c>
      <c r="G111" s="7" t="s">
        <v>2272</v>
      </c>
      <c r="H111" s="34">
        <f>4013.1*1.11</f>
        <v>4454.5410000000002</v>
      </c>
      <c r="I111" s="109">
        <f t="shared" si="2"/>
        <v>4677.2680500000006</v>
      </c>
      <c r="J111" s="109">
        <f>J112+361</f>
        <v>4780.3600000000006</v>
      </c>
      <c r="K111" s="34">
        <f t="shared" si="5"/>
        <v>2849.09456</v>
      </c>
      <c r="L111" t="s">
        <v>3249</v>
      </c>
    </row>
    <row r="112" spans="1:12" x14ac:dyDescent="0.25">
      <c r="B112" s="6" t="s">
        <v>2773</v>
      </c>
      <c r="C112" s="7" t="s">
        <v>2277</v>
      </c>
      <c r="D112" s="7" t="s">
        <v>2286</v>
      </c>
      <c r="E112" s="7" t="s">
        <v>2867</v>
      </c>
      <c r="F112" s="8" t="s">
        <v>2674</v>
      </c>
      <c r="G112" s="7" t="s">
        <v>2274</v>
      </c>
      <c r="H112" s="34">
        <f>3710.7*1.11</f>
        <v>4118.8770000000004</v>
      </c>
      <c r="I112" s="109">
        <f t="shared" si="2"/>
        <v>4324.820850000001</v>
      </c>
      <c r="J112" s="109">
        <f>4092*1.08</f>
        <v>4419.3600000000006</v>
      </c>
      <c r="K112" s="34">
        <f t="shared" si="5"/>
        <v>2633.9385600000001</v>
      </c>
      <c r="L112" t="s">
        <v>3249</v>
      </c>
    </row>
    <row r="113" spans="1:12" x14ac:dyDescent="0.25">
      <c r="B113" s="6" t="s">
        <v>2774</v>
      </c>
      <c r="C113" s="7" t="s">
        <v>2270</v>
      </c>
      <c r="D113" s="7" t="s">
        <v>2287</v>
      </c>
      <c r="E113" s="7" t="s">
        <v>2867</v>
      </c>
      <c r="F113" s="8" t="s">
        <v>2675</v>
      </c>
      <c r="G113" s="7" t="s">
        <v>2272</v>
      </c>
      <c r="H113" s="34">
        <f>4085.03*1.11</f>
        <v>4534.3833000000004</v>
      </c>
      <c r="I113" s="109">
        <f t="shared" si="2"/>
        <v>4761.1024650000008</v>
      </c>
      <c r="J113" s="109">
        <f>J114+361</f>
        <v>4867.84</v>
      </c>
      <c r="K113" s="34">
        <f t="shared" si="5"/>
        <v>2901.2326400000002</v>
      </c>
      <c r="L113" t="s">
        <v>3249</v>
      </c>
    </row>
    <row r="114" spans="1:12" x14ac:dyDescent="0.25">
      <c r="A114" t="s">
        <v>2953</v>
      </c>
      <c r="B114" s="6" t="s">
        <v>2775</v>
      </c>
      <c r="C114" s="7" t="s">
        <v>2273</v>
      </c>
      <c r="D114" s="7" t="s">
        <v>2287</v>
      </c>
      <c r="E114" s="7" t="s">
        <v>2867</v>
      </c>
      <c r="F114" s="8" t="s">
        <v>2675</v>
      </c>
      <c r="G114" s="7" t="s">
        <v>2274</v>
      </c>
      <c r="H114" s="34">
        <f>3782.63*1.11</f>
        <v>4198.7193000000007</v>
      </c>
      <c r="I114" s="109">
        <f t="shared" si="2"/>
        <v>4408.6552650000012</v>
      </c>
      <c r="J114" s="109">
        <f>4173*1.08</f>
        <v>4506.84</v>
      </c>
      <c r="K114" s="34">
        <f t="shared" si="5"/>
        <v>2686.0766399999998</v>
      </c>
      <c r="L114" t="s">
        <v>3249</v>
      </c>
    </row>
    <row r="115" spans="1:12" x14ac:dyDescent="0.25">
      <c r="B115" s="6" t="s">
        <v>2776</v>
      </c>
      <c r="C115" s="7" t="s">
        <v>2275</v>
      </c>
      <c r="D115" s="7" t="s">
        <v>2288</v>
      </c>
      <c r="E115" s="7" t="s">
        <v>2867</v>
      </c>
      <c r="F115" s="8" t="s">
        <v>2676</v>
      </c>
      <c r="G115" s="7" t="s">
        <v>2272</v>
      </c>
      <c r="H115" s="34">
        <f>4170.6*1.11</f>
        <v>4629.3660000000009</v>
      </c>
      <c r="I115" s="109">
        <f t="shared" si="2"/>
        <v>4860.8343000000013</v>
      </c>
      <c r="J115" s="109">
        <f>J116+361</f>
        <v>4969.3600000000006</v>
      </c>
      <c r="K115" s="34">
        <f t="shared" si="5"/>
        <v>2961.7385600000002</v>
      </c>
      <c r="L115" t="s">
        <v>3249</v>
      </c>
    </row>
    <row r="116" spans="1:12" x14ac:dyDescent="0.25">
      <c r="B116" s="6" t="s">
        <v>2777</v>
      </c>
      <c r="C116" s="7" t="s">
        <v>2277</v>
      </c>
      <c r="D116" s="7" t="s">
        <v>2288</v>
      </c>
      <c r="E116" s="7" t="s">
        <v>2867</v>
      </c>
      <c r="F116" s="8" t="s">
        <v>2676</v>
      </c>
      <c r="G116" s="7" t="s">
        <v>2274</v>
      </c>
      <c r="H116" s="34">
        <f>3868.2*1.11</f>
        <v>4293.7020000000002</v>
      </c>
      <c r="I116" s="109">
        <f t="shared" si="2"/>
        <v>4508.3871000000008</v>
      </c>
      <c r="J116" s="109">
        <f>4267*1.08</f>
        <v>4608.3600000000006</v>
      </c>
      <c r="K116" s="34">
        <f t="shared" si="5"/>
        <v>2746.5825600000003</v>
      </c>
      <c r="L116" t="s">
        <v>3249</v>
      </c>
    </row>
    <row r="117" spans="1:12" x14ac:dyDescent="0.25">
      <c r="B117" s="6" t="s">
        <v>2778</v>
      </c>
      <c r="C117" s="7" t="s">
        <v>2270</v>
      </c>
      <c r="D117" s="7" t="s">
        <v>2289</v>
      </c>
      <c r="E117" s="7" t="s">
        <v>2867</v>
      </c>
      <c r="F117" s="8" t="s">
        <v>2677</v>
      </c>
      <c r="G117" s="7" t="s">
        <v>2272</v>
      </c>
      <c r="H117" s="34">
        <f>4481.2*1.11</f>
        <v>4974.1320000000005</v>
      </c>
      <c r="I117" s="109">
        <f t="shared" si="2"/>
        <v>5222.838600000001</v>
      </c>
      <c r="J117" s="109">
        <f>J118+361</f>
        <v>5338.72</v>
      </c>
      <c r="K117" s="34">
        <f t="shared" si="5"/>
        <v>3181.8771200000001</v>
      </c>
      <c r="L117" t="s">
        <v>3249</v>
      </c>
    </row>
    <row r="118" spans="1:12" x14ac:dyDescent="0.25">
      <c r="B118" s="6" t="s">
        <v>2779</v>
      </c>
      <c r="C118" s="7" t="s">
        <v>2273</v>
      </c>
      <c r="D118" s="7" t="s">
        <v>2289</v>
      </c>
      <c r="E118" s="7" t="s">
        <v>2867</v>
      </c>
      <c r="F118" s="8" t="s">
        <v>2677</v>
      </c>
      <c r="G118" s="7" t="s">
        <v>2274</v>
      </c>
      <c r="H118" s="34">
        <f>4179*1.11</f>
        <v>4638.6900000000005</v>
      </c>
      <c r="I118" s="109">
        <f t="shared" si="2"/>
        <v>4870.6245000000008</v>
      </c>
      <c r="J118" s="109">
        <f>4609*1.08</f>
        <v>4977.72</v>
      </c>
      <c r="K118" s="34">
        <f t="shared" si="5"/>
        <v>2966.7211200000002</v>
      </c>
      <c r="L118" t="s">
        <v>3249</v>
      </c>
    </row>
    <row r="119" spans="1:12" x14ac:dyDescent="0.25">
      <c r="B119" s="6" t="s">
        <v>2780</v>
      </c>
      <c r="C119" s="7" t="s">
        <v>2275</v>
      </c>
      <c r="D119" s="7" t="s">
        <v>2290</v>
      </c>
      <c r="E119" s="7" t="s">
        <v>2867</v>
      </c>
      <c r="F119" s="8" t="s">
        <v>2678</v>
      </c>
      <c r="G119" s="7" t="s">
        <v>2272</v>
      </c>
      <c r="H119" s="34">
        <f>4575.9*1.11</f>
        <v>5079.2489999999998</v>
      </c>
      <c r="I119" s="109">
        <f t="shared" si="2"/>
        <v>5333.2114499999998</v>
      </c>
      <c r="J119" s="109">
        <f>J120+361</f>
        <v>5451.04</v>
      </c>
      <c r="K119" s="34">
        <f t="shared" si="5"/>
        <v>3248.8198399999997</v>
      </c>
      <c r="L119" t="s">
        <v>3249</v>
      </c>
    </row>
    <row r="120" spans="1:12" x14ac:dyDescent="0.25">
      <c r="B120" s="6" t="s">
        <v>2781</v>
      </c>
      <c r="C120" s="7" t="s">
        <v>2277</v>
      </c>
      <c r="D120" s="7" t="s">
        <v>2290</v>
      </c>
      <c r="E120" s="7" t="s">
        <v>2867</v>
      </c>
      <c r="F120" s="8" t="s">
        <v>2678</v>
      </c>
      <c r="G120" s="7" t="s">
        <v>2274</v>
      </c>
      <c r="H120" s="34">
        <f>4273.5*1.11</f>
        <v>4743.585</v>
      </c>
      <c r="I120" s="109">
        <f t="shared" si="2"/>
        <v>4980.7642500000002</v>
      </c>
      <c r="J120" s="109">
        <f>4713*1.08</f>
        <v>5090.04</v>
      </c>
      <c r="K120" s="34">
        <f t="shared" si="5"/>
        <v>3033.6638399999997</v>
      </c>
      <c r="L120" t="s">
        <v>3249</v>
      </c>
    </row>
    <row r="121" spans="1:12" x14ac:dyDescent="0.25">
      <c r="B121" s="6" t="s">
        <v>2782</v>
      </c>
      <c r="C121" s="7" t="s">
        <v>2270</v>
      </c>
      <c r="D121" s="7" t="s">
        <v>2291</v>
      </c>
      <c r="E121" s="7" t="s">
        <v>2867</v>
      </c>
      <c r="F121" s="8" t="s">
        <v>2679</v>
      </c>
      <c r="G121" s="7" t="s">
        <v>2272</v>
      </c>
      <c r="H121" s="34">
        <f>4883.03*1.11</f>
        <v>5420.1633000000002</v>
      </c>
      <c r="I121" s="109">
        <f t="shared" si="2"/>
        <v>5691.1714650000004</v>
      </c>
      <c r="J121" s="109">
        <f>J122+361</f>
        <v>5817.1600000000008</v>
      </c>
      <c r="K121" s="34">
        <f t="shared" si="5"/>
        <v>3467.0273600000005</v>
      </c>
      <c r="L121" t="s">
        <v>3249</v>
      </c>
    </row>
    <row r="122" spans="1:12" x14ac:dyDescent="0.25">
      <c r="B122" s="6" t="s">
        <v>2783</v>
      </c>
      <c r="C122" s="7" t="s">
        <v>2273</v>
      </c>
      <c r="D122" s="7" t="s">
        <v>2291</v>
      </c>
      <c r="E122" s="7" t="s">
        <v>2867</v>
      </c>
      <c r="F122" s="8" t="s">
        <v>2679</v>
      </c>
      <c r="G122" s="7" t="s">
        <v>2274</v>
      </c>
      <c r="H122" s="34">
        <f>4580.63*1.11</f>
        <v>5084.4993000000004</v>
      </c>
      <c r="I122" s="109">
        <f t="shared" si="2"/>
        <v>5338.7242650000007</v>
      </c>
      <c r="J122" s="109">
        <f>5052*1.08</f>
        <v>5456.1600000000008</v>
      </c>
      <c r="K122" s="34">
        <f t="shared" si="5"/>
        <v>3251.8713600000001</v>
      </c>
      <c r="L122" t="s">
        <v>3249</v>
      </c>
    </row>
    <row r="123" spans="1:12" x14ac:dyDescent="0.25">
      <c r="B123" s="6" t="s">
        <v>2784</v>
      </c>
      <c r="C123" s="7" t="s">
        <v>2275</v>
      </c>
      <c r="D123" s="7" t="s">
        <v>2292</v>
      </c>
      <c r="E123" s="7" t="s">
        <v>2867</v>
      </c>
      <c r="F123" s="8" t="s">
        <v>2680</v>
      </c>
      <c r="G123" s="7" t="s">
        <v>2272</v>
      </c>
      <c r="H123" s="34">
        <f>4986.45*1.11</f>
        <v>5534.9594999999999</v>
      </c>
      <c r="I123" s="109">
        <f t="shared" si="2"/>
        <v>5811.7074750000002</v>
      </c>
      <c r="J123" s="109">
        <f>J124+361</f>
        <v>5940.2800000000007</v>
      </c>
      <c r="K123" s="34">
        <f t="shared" si="5"/>
        <v>3540.4068800000005</v>
      </c>
      <c r="L123" t="s">
        <v>3249</v>
      </c>
    </row>
    <row r="124" spans="1:12" x14ac:dyDescent="0.25">
      <c r="B124" s="6" t="s">
        <v>2785</v>
      </c>
      <c r="C124" s="7" t="s">
        <v>2277</v>
      </c>
      <c r="D124" s="7" t="s">
        <v>2292</v>
      </c>
      <c r="E124" s="7" t="s">
        <v>2867</v>
      </c>
      <c r="F124" s="8" t="s">
        <v>2680</v>
      </c>
      <c r="G124" s="7" t="s">
        <v>2274</v>
      </c>
      <c r="H124" s="34">
        <f>4684.05*1.11</f>
        <v>5199.2955000000011</v>
      </c>
      <c r="I124" s="109">
        <f t="shared" si="2"/>
        <v>5459.2602750000015</v>
      </c>
      <c r="J124" s="109">
        <f>5166*1.08</f>
        <v>5579.2800000000007</v>
      </c>
      <c r="K124" s="34">
        <f t="shared" si="5"/>
        <v>3325.2508800000001</v>
      </c>
      <c r="L124" t="s">
        <v>3249</v>
      </c>
    </row>
    <row r="125" spans="1:12" x14ac:dyDescent="0.25">
      <c r="B125" s="6" t="s">
        <v>2786</v>
      </c>
      <c r="C125" s="7" t="s">
        <v>2270</v>
      </c>
      <c r="D125" s="7" t="s">
        <v>237</v>
      </c>
      <c r="E125" s="7" t="s">
        <v>2867</v>
      </c>
      <c r="F125" s="8" t="s">
        <v>2681</v>
      </c>
      <c r="G125" s="7" t="s">
        <v>2272</v>
      </c>
      <c r="H125" s="34">
        <f>4289.78*1.11</f>
        <v>4761.6558000000005</v>
      </c>
      <c r="I125" s="109">
        <f t="shared" si="2"/>
        <v>4999.7385900000008</v>
      </c>
      <c r="J125" s="109">
        <f>J126+361</f>
        <v>5110.84</v>
      </c>
      <c r="K125" s="34">
        <f t="shared" si="5"/>
        <v>3046.0606400000001</v>
      </c>
      <c r="L125" t="s">
        <v>3249</v>
      </c>
    </row>
    <row r="126" spans="1:12" x14ac:dyDescent="0.25">
      <c r="B126" s="6" t="s">
        <v>2787</v>
      </c>
      <c r="C126" s="7" t="s">
        <v>2273</v>
      </c>
      <c r="D126" s="7" t="s">
        <v>237</v>
      </c>
      <c r="E126" s="7" t="s">
        <v>2867</v>
      </c>
      <c r="F126" s="8" t="s">
        <v>2681</v>
      </c>
      <c r="G126" s="7" t="s">
        <v>2274</v>
      </c>
      <c r="H126" s="34">
        <f>3987.38*1.11</f>
        <v>4425.9918000000007</v>
      </c>
      <c r="I126" s="109">
        <f t="shared" si="2"/>
        <v>4647.2913900000012</v>
      </c>
      <c r="J126" s="109">
        <f>4398*1.08</f>
        <v>4749.84</v>
      </c>
      <c r="K126" s="34">
        <f t="shared" si="5"/>
        <v>2830.9046399999997</v>
      </c>
      <c r="L126" t="s">
        <v>3249</v>
      </c>
    </row>
    <row r="127" spans="1:12" x14ac:dyDescent="0.25">
      <c r="B127" s="6" t="s">
        <v>2788</v>
      </c>
      <c r="C127" s="7" t="s">
        <v>2275</v>
      </c>
      <c r="D127" s="7" t="s">
        <v>2293</v>
      </c>
      <c r="E127" s="7" t="s">
        <v>2867</v>
      </c>
      <c r="F127" s="8" t="s">
        <v>2682</v>
      </c>
      <c r="G127" s="7" t="s">
        <v>2272</v>
      </c>
      <c r="H127" s="34">
        <f>4379.55*1.11</f>
        <v>4861.3005000000003</v>
      </c>
      <c r="I127" s="109">
        <f t="shared" si="2"/>
        <v>5104.3655250000002</v>
      </c>
      <c r="J127" s="109">
        <f>J128+361</f>
        <v>5217.76</v>
      </c>
      <c r="K127" s="34">
        <f t="shared" si="5"/>
        <v>3109.78496</v>
      </c>
      <c r="L127" t="s">
        <v>3249</v>
      </c>
    </row>
    <row r="128" spans="1:12" x14ac:dyDescent="0.25">
      <c r="B128" s="6" t="s">
        <v>2789</v>
      </c>
      <c r="C128" s="7" t="s">
        <v>2277</v>
      </c>
      <c r="D128" s="7" t="s">
        <v>2293</v>
      </c>
      <c r="E128" s="7" t="s">
        <v>2867</v>
      </c>
      <c r="F128" s="8" t="s">
        <v>2682</v>
      </c>
      <c r="G128" s="7" t="s">
        <v>2274</v>
      </c>
      <c r="H128" s="34">
        <f>4077.15*1.11</f>
        <v>4525.6365000000005</v>
      </c>
      <c r="I128" s="109">
        <f t="shared" si="2"/>
        <v>4751.9183250000006</v>
      </c>
      <c r="J128" s="109">
        <f>4497*1.08</f>
        <v>4856.76</v>
      </c>
      <c r="K128" s="34">
        <f t="shared" si="5"/>
        <v>2894.62896</v>
      </c>
      <c r="L128" t="s">
        <v>3249</v>
      </c>
    </row>
    <row r="129" spans="2:12" x14ac:dyDescent="0.25">
      <c r="B129" s="6" t="s">
        <v>2790</v>
      </c>
      <c r="C129" s="7" t="s">
        <v>2270</v>
      </c>
      <c r="D129" s="7" t="s">
        <v>239</v>
      </c>
      <c r="E129" s="7" t="s">
        <v>2867</v>
      </c>
      <c r="F129" s="8" t="s">
        <v>2683</v>
      </c>
      <c r="G129" s="7" t="s">
        <v>2272</v>
      </c>
      <c r="H129" s="34">
        <f>4893*1.11</f>
        <v>5431.2300000000005</v>
      </c>
      <c r="I129" s="109">
        <f t="shared" si="2"/>
        <v>5702.7915000000012</v>
      </c>
      <c r="J129" s="109">
        <f>J130+361</f>
        <v>5829.04</v>
      </c>
      <c r="K129" s="34">
        <f t="shared" si="5"/>
        <v>3474.1078399999997</v>
      </c>
      <c r="L129" t="s">
        <v>3249</v>
      </c>
    </row>
    <row r="130" spans="2:12" x14ac:dyDescent="0.25">
      <c r="B130" s="6" t="s">
        <v>2791</v>
      </c>
      <c r="C130" s="7" t="s">
        <v>2273</v>
      </c>
      <c r="D130" s="7" t="s">
        <v>239</v>
      </c>
      <c r="E130" s="7" t="s">
        <v>2867</v>
      </c>
      <c r="F130" s="8" t="s">
        <v>2683</v>
      </c>
      <c r="G130" s="7" t="s">
        <v>2274</v>
      </c>
      <c r="H130" s="34">
        <f>4590.6*1.11</f>
        <v>5095.5660000000007</v>
      </c>
      <c r="I130" s="109">
        <f t="shared" si="2"/>
        <v>5350.3443000000007</v>
      </c>
      <c r="J130" s="109">
        <f>5063*1.08</f>
        <v>5468.04</v>
      </c>
      <c r="K130" s="34">
        <f t="shared" si="5"/>
        <v>3258.9518399999997</v>
      </c>
      <c r="L130" t="s">
        <v>3249</v>
      </c>
    </row>
    <row r="131" spans="2:12" x14ac:dyDescent="0.25">
      <c r="B131" s="6" t="s">
        <v>2792</v>
      </c>
      <c r="C131" s="7" t="s">
        <v>2275</v>
      </c>
      <c r="D131" s="7" t="s">
        <v>2294</v>
      </c>
      <c r="E131" s="7" t="s">
        <v>2867</v>
      </c>
      <c r="F131" s="8" t="s">
        <v>2684</v>
      </c>
      <c r="G131" s="7" t="s">
        <v>2272</v>
      </c>
      <c r="H131" s="34">
        <f>4995.9*1.11</f>
        <v>5545.4490000000005</v>
      </c>
      <c r="I131" s="109">
        <f t="shared" si="2"/>
        <v>5822.7214500000009</v>
      </c>
      <c r="J131" s="109">
        <f>J132+361</f>
        <v>5951.08</v>
      </c>
      <c r="K131" s="34">
        <f t="shared" si="5"/>
        <v>3546.8436799999999</v>
      </c>
      <c r="L131" t="s">
        <v>3249</v>
      </c>
    </row>
    <row r="132" spans="2:12" x14ac:dyDescent="0.25">
      <c r="B132" s="6" t="s">
        <v>2793</v>
      </c>
      <c r="C132" s="7" t="s">
        <v>2277</v>
      </c>
      <c r="D132" s="7" t="s">
        <v>2294</v>
      </c>
      <c r="E132" s="7" t="s">
        <v>2867</v>
      </c>
      <c r="F132" s="8" t="s">
        <v>2684</v>
      </c>
      <c r="G132" s="7" t="s">
        <v>2274</v>
      </c>
      <c r="H132" s="34">
        <f>4693.5*1.11</f>
        <v>5209.7850000000008</v>
      </c>
      <c r="I132" s="109">
        <f t="shared" ref="I132:I195" si="6">H132*1.05</f>
        <v>5470.2742500000013</v>
      </c>
      <c r="J132" s="109">
        <f>5176*1.08</f>
        <v>5590.08</v>
      </c>
      <c r="K132" s="34">
        <f t="shared" si="5"/>
        <v>3331.68768</v>
      </c>
      <c r="L132" t="s">
        <v>3249</v>
      </c>
    </row>
    <row r="133" spans="2:12" x14ac:dyDescent="0.25">
      <c r="B133" s="6" t="s">
        <v>2794</v>
      </c>
      <c r="C133" s="7" t="s">
        <v>2270</v>
      </c>
      <c r="D133" s="7" t="s">
        <v>241</v>
      </c>
      <c r="E133" s="7" t="s">
        <v>2867</v>
      </c>
      <c r="F133" s="8" t="s">
        <v>2685</v>
      </c>
      <c r="G133" s="7" t="s">
        <v>2272</v>
      </c>
      <c r="H133" s="34">
        <f>5317.2*1.11</f>
        <v>5902.0920000000006</v>
      </c>
      <c r="I133" s="109">
        <f t="shared" si="6"/>
        <v>6197.1966000000011</v>
      </c>
      <c r="J133" s="109">
        <f>J134+361</f>
        <v>6334.4800000000005</v>
      </c>
      <c r="K133" s="34">
        <f t="shared" si="5"/>
        <v>3775.3500800000002</v>
      </c>
      <c r="L133" t="s">
        <v>3249</v>
      </c>
    </row>
    <row r="134" spans="2:12" x14ac:dyDescent="0.25">
      <c r="B134" s="6" t="s">
        <v>2795</v>
      </c>
      <c r="C134" s="7" t="s">
        <v>2273</v>
      </c>
      <c r="D134" s="7" t="s">
        <v>241</v>
      </c>
      <c r="E134" s="7" t="s">
        <v>2867</v>
      </c>
      <c r="F134" s="8" t="s">
        <v>2685</v>
      </c>
      <c r="G134" s="7" t="s">
        <v>2274</v>
      </c>
      <c r="H134" s="34">
        <f>5014.8*1.11</f>
        <v>5566.4280000000008</v>
      </c>
      <c r="I134" s="109">
        <f t="shared" si="6"/>
        <v>5844.7494000000015</v>
      </c>
      <c r="J134" s="109">
        <f>5531*1.08</f>
        <v>5973.4800000000005</v>
      </c>
      <c r="K134" s="34">
        <f t="shared" si="5"/>
        <v>3560.1940800000002</v>
      </c>
      <c r="L134" t="s">
        <v>3249</v>
      </c>
    </row>
    <row r="135" spans="2:12" x14ac:dyDescent="0.25">
      <c r="B135" s="6" t="s">
        <v>2796</v>
      </c>
      <c r="C135" s="7" t="s">
        <v>2275</v>
      </c>
      <c r="D135" s="7" t="s">
        <v>2295</v>
      </c>
      <c r="E135" s="7" t="s">
        <v>2867</v>
      </c>
      <c r="F135" s="8" t="s">
        <v>2686</v>
      </c>
      <c r="G135" s="7" t="s">
        <v>2272</v>
      </c>
      <c r="H135" s="34">
        <f>5429.55*1.11</f>
        <v>6026.8005000000003</v>
      </c>
      <c r="I135" s="109">
        <f t="shared" si="6"/>
        <v>6328.1405250000007</v>
      </c>
      <c r="J135" s="109">
        <f>J136+361</f>
        <v>6468.4000000000005</v>
      </c>
      <c r="K135" s="34">
        <f t="shared" si="5"/>
        <v>3855.1664000000001</v>
      </c>
      <c r="L135" t="s">
        <v>3249</v>
      </c>
    </row>
    <row r="136" spans="2:12" x14ac:dyDescent="0.25">
      <c r="B136" s="6" t="s">
        <v>2797</v>
      </c>
      <c r="C136" s="7" t="s">
        <v>2277</v>
      </c>
      <c r="D136" s="7" t="s">
        <v>2295</v>
      </c>
      <c r="E136" s="7" t="s">
        <v>2867</v>
      </c>
      <c r="F136" s="8" t="s">
        <v>2686</v>
      </c>
      <c r="G136" s="7" t="s">
        <v>2274</v>
      </c>
      <c r="H136" s="34">
        <f>5127.15*1.11</f>
        <v>5691.1365000000005</v>
      </c>
      <c r="I136" s="109">
        <f t="shared" si="6"/>
        <v>5975.6933250000011</v>
      </c>
      <c r="J136" s="109">
        <f>5655*1.08</f>
        <v>6107.4000000000005</v>
      </c>
      <c r="K136" s="34">
        <f t="shared" si="5"/>
        <v>3640.0104000000001</v>
      </c>
      <c r="L136" t="s">
        <v>3249</v>
      </c>
    </row>
    <row r="137" spans="2:12" x14ac:dyDescent="0.25">
      <c r="B137" s="6" t="s">
        <v>2798</v>
      </c>
      <c r="C137" s="7" t="s">
        <v>2270</v>
      </c>
      <c r="D137" s="7" t="s">
        <v>243</v>
      </c>
      <c r="E137" s="7" t="s">
        <v>2867</v>
      </c>
      <c r="F137" s="8" t="s">
        <v>2687</v>
      </c>
      <c r="G137" s="7" t="s">
        <v>2272</v>
      </c>
      <c r="H137" s="34">
        <f>5848.5*1.11</f>
        <v>6491.8350000000009</v>
      </c>
      <c r="I137" s="109">
        <f t="shared" si="6"/>
        <v>6816.4267500000014</v>
      </c>
      <c r="J137" s="109">
        <f>J138+361</f>
        <v>6967.3600000000006</v>
      </c>
      <c r="K137" s="34">
        <f t="shared" si="5"/>
        <v>4152.5465599999998</v>
      </c>
      <c r="L137" t="s">
        <v>3249</v>
      </c>
    </row>
    <row r="138" spans="2:12" x14ac:dyDescent="0.25">
      <c r="B138" s="6" t="s">
        <v>2799</v>
      </c>
      <c r="C138" s="7" t="s">
        <v>2273</v>
      </c>
      <c r="D138" s="7" t="s">
        <v>243</v>
      </c>
      <c r="E138" s="7" t="s">
        <v>2867</v>
      </c>
      <c r="F138" s="8" t="s">
        <v>2687</v>
      </c>
      <c r="G138" s="7" t="s">
        <v>2274</v>
      </c>
      <c r="H138" s="34">
        <f>5546.1*1.11</f>
        <v>6156.1710000000012</v>
      </c>
      <c r="I138" s="109">
        <f t="shared" si="6"/>
        <v>6463.9795500000018</v>
      </c>
      <c r="J138" s="109">
        <f>6117*1.08</f>
        <v>6606.3600000000006</v>
      </c>
      <c r="K138" s="34">
        <f t="shared" si="5"/>
        <v>3937.3905600000003</v>
      </c>
      <c r="L138" t="s">
        <v>3249</v>
      </c>
    </row>
    <row r="139" spans="2:12" x14ac:dyDescent="0.25">
      <c r="B139" s="6" t="s">
        <v>2800</v>
      </c>
      <c r="C139" s="7" t="s">
        <v>2275</v>
      </c>
      <c r="D139" s="7" t="s">
        <v>2296</v>
      </c>
      <c r="E139" s="7" t="s">
        <v>2867</v>
      </c>
      <c r="F139" s="8" t="s">
        <v>2688</v>
      </c>
      <c r="G139" s="7" t="s">
        <v>2272</v>
      </c>
      <c r="H139" s="34">
        <f>5973.45*1.11</f>
        <v>6630.5295000000006</v>
      </c>
      <c r="I139" s="109">
        <f t="shared" si="6"/>
        <v>6962.0559750000011</v>
      </c>
      <c r="J139" s="109">
        <f>J140+361</f>
        <v>7115.3200000000006</v>
      </c>
      <c r="K139" s="34">
        <f t="shared" si="5"/>
        <v>4240.7307200000005</v>
      </c>
      <c r="L139" t="s">
        <v>3249</v>
      </c>
    </row>
    <row r="140" spans="2:12" x14ac:dyDescent="0.25">
      <c r="B140" s="6" t="s">
        <v>2801</v>
      </c>
      <c r="C140" s="7" t="s">
        <v>2277</v>
      </c>
      <c r="D140" s="7" t="s">
        <v>2296</v>
      </c>
      <c r="E140" s="7" t="s">
        <v>2867</v>
      </c>
      <c r="F140" s="8" t="s">
        <v>2688</v>
      </c>
      <c r="G140" s="7" t="s">
        <v>2274</v>
      </c>
      <c r="H140" s="34">
        <f>5671.05*1.11</f>
        <v>6294.8655000000008</v>
      </c>
      <c r="I140" s="109">
        <f t="shared" si="6"/>
        <v>6609.6087750000015</v>
      </c>
      <c r="J140" s="109">
        <f>6254*1.08</f>
        <v>6754.3200000000006</v>
      </c>
      <c r="K140" s="34">
        <f t="shared" si="5"/>
        <v>4025.5747200000001</v>
      </c>
      <c r="L140" t="s">
        <v>3249</v>
      </c>
    </row>
    <row r="141" spans="2:12" x14ac:dyDescent="0.25">
      <c r="B141" s="6" t="s">
        <v>2802</v>
      </c>
      <c r="C141" s="7" t="s">
        <v>2270</v>
      </c>
      <c r="D141" s="7" t="s">
        <v>2271</v>
      </c>
      <c r="E141" s="7" t="s">
        <v>2867</v>
      </c>
      <c r="F141" s="8" t="s">
        <v>2665</v>
      </c>
      <c r="G141" s="7" t="s">
        <v>2272</v>
      </c>
      <c r="H141" s="34">
        <f>3586.8*1.11</f>
        <v>3981.3480000000004</v>
      </c>
      <c r="I141" s="109">
        <f t="shared" si="6"/>
        <v>4180.4154000000008</v>
      </c>
      <c r="J141" s="109">
        <f>J142+361</f>
        <v>4272.76</v>
      </c>
      <c r="K141" s="34">
        <f t="shared" si="5"/>
        <v>2546.5649600000002</v>
      </c>
      <c r="L141" t="s">
        <v>3249</v>
      </c>
    </row>
    <row r="142" spans="2:12" x14ac:dyDescent="0.25">
      <c r="B142" s="6" t="s">
        <v>2803</v>
      </c>
      <c r="C142" s="7" t="s">
        <v>2273</v>
      </c>
      <c r="D142" s="7" t="s">
        <v>2271</v>
      </c>
      <c r="E142" s="7" t="s">
        <v>2867</v>
      </c>
      <c r="F142" s="8" t="s">
        <v>2665</v>
      </c>
      <c r="G142" s="7" t="s">
        <v>2274</v>
      </c>
      <c r="H142" s="34">
        <f>3284.4*1.11</f>
        <v>3645.6840000000002</v>
      </c>
      <c r="I142" s="109">
        <f t="shared" si="6"/>
        <v>3827.9682000000003</v>
      </c>
      <c r="J142" s="109">
        <f>3622*1.08</f>
        <v>3911.76</v>
      </c>
      <c r="K142" s="34">
        <f t="shared" si="5"/>
        <v>2331.4089600000002</v>
      </c>
      <c r="L142" t="s">
        <v>3249</v>
      </c>
    </row>
    <row r="143" spans="2:12" x14ac:dyDescent="0.25">
      <c r="B143" s="6" t="s">
        <v>2804</v>
      </c>
      <c r="C143" s="7" t="s">
        <v>2275</v>
      </c>
      <c r="D143" s="7" t="s">
        <v>2276</v>
      </c>
      <c r="E143" s="7" t="s">
        <v>2867</v>
      </c>
      <c r="F143" s="8" t="s">
        <v>2666</v>
      </c>
      <c r="G143" s="7" t="s">
        <v>2272</v>
      </c>
      <c r="H143" s="34">
        <f>3660.3*1.11</f>
        <v>4062.9330000000004</v>
      </c>
      <c r="I143" s="109">
        <f t="shared" si="6"/>
        <v>4266.0796500000006</v>
      </c>
      <c r="J143" s="109">
        <f>J144+361</f>
        <v>4360.24</v>
      </c>
      <c r="K143" s="34">
        <f t="shared" si="5"/>
        <v>2598.7030399999999</v>
      </c>
      <c r="L143" t="s">
        <v>3249</v>
      </c>
    </row>
    <row r="144" spans="2:12" x14ac:dyDescent="0.25">
      <c r="B144" s="6" t="s">
        <v>2805</v>
      </c>
      <c r="C144" s="7" t="s">
        <v>2277</v>
      </c>
      <c r="D144" s="7" t="s">
        <v>2276</v>
      </c>
      <c r="E144" s="7" t="s">
        <v>2867</v>
      </c>
      <c r="F144" s="8" t="s">
        <v>2666</v>
      </c>
      <c r="G144" s="7" t="s">
        <v>2274</v>
      </c>
      <c r="H144" s="34">
        <f>3357.9*1.11</f>
        <v>3727.2690000000002</v>
      </c>
      <c r="I144" s="109">
        <f t="shared" si="6"/>
        <v>3913.6324500000005</v>
      </c>
      <c r="J144" s="109">
        <f>3703*1.08</f>
        <v>3999.2400000000002</v>
      </c>
      <c r="K144" s="34">
        <f t="shared" si="5"/>
        <v>2383.5470399999999</v>
      </c>
      <c r="L144" t="s">
        <v>3249</v>
      </c>
    </row>
    <row r="145" spans="2:12" x14ac:dyDescent="0.25">
      <c r="B145" s="6" t="s">
        <v>2806</v>
      </c>
      <c r="C145" s="7" t="s">
        <v>2270</v>
      </c>
      <c r="D145" s="7" t="s">
        <v>2278</v>
      </c>
      <c r="E145" s="7" t="s">
        <v>2867</v>
      </c>
      <c r="F145" s="8" t="s">
        <v>2667</v>
      </c>
      <c r="G145" s="7" t="s">
        <v>2272</v>
      </c>
      <c r="H145" s="34">
        <f>3792.08*1.11</f>
        <v>4209.2088000000003</v>
      </c>
      <c r="I145" s="109">
        <f t="shared" si="6"/>
        <v>4419.6692400000002</v>
      </c>
      <c r="J145" s="109">
        <f>J146+361</f>
        <v>4517.92</v>
      </c>
      <c r="K145" s="34">
        <f t="shared" si="5"/>
        <v>2692.6803199999999</v>
      </c>
      <c r="L145" t="s">
        <v>3249</v>
      </c>
    </row>
    <row r="146" spans="2:12" x14ac:dyDescent="0.25">
      <c r="B146" s="6" t="s">
        <v>2807</v>
      </c>
      <c r="C146" s="7" t="s">
        <v>2273</v>
      </c>
      <c r="D146" s="7" t="s">
        <v>2278</v>
      </c>
      <c r="E146" s="7" t="s">
        <v>2867</v>
      </c>
      <c r="F146" s="8" t="s">
        <v>2667</v>
      </c>
      <c r="G146" s="7" t="s">
        <v>2274</v>
      </c>
      <c r="H146" s="34">
        <f>3489.68*1.11</f>
        <v>3873.5448000000001</v>
      </c>
      <c r="I146" s="109">
        <f t="shared" si="6"/>
        <v>4067.2220400000001</v>
      </c>
      <c r="J146" s="109">
        <f>3849*1.08</f>
        <v>4156.92</v>
      </c>
      <c r="K146" s="34">
        <f t="shared" si="5"/>
        <v>2477.52432</v>
      </c>
      <c r="L146" t="s">
        <v>3249</v>
      </c>
    </row>
    <row r="147" spans="2:12" x14ac:dyDescent="0.25">
      <c r="B147" s="6" t="s">
        <v>2808</v>
      </c>
      <c r="C147" s="7" t="s">
        <v>2275</v>
      </c>
      <c r="D147" s="7" t="s">
        <v>2279</v>
      </c>
      <c r="E147" s="7" t="s">
        <v>2867</v>
      </c>
      <c r="F147" s="8" t="s">
        <v>2668</v>
      </c>
      <c r="G147" s="7" t="s">
        <v>2272</v>
      </c>
      <c r="H147" s="34">
        <f>3870.3*1.11</f>
        <v>4296.0330000000004</v>
      </c>
      <c r="I147" s="109">
        <f t="shared" si="6"/>
        <v>4510.8346500000007</v>
      </c>
      <c r="J147" s="109">
        <f>J148+361</f>
        <v>4610.8</v>
      </c>
      <c r="K147" s="34">
        <f t="shared" si="5"/>
        <v>2748.0367999999999</v>
      </c>
      <c r="L147" t="s">
        <v>3249</v>
      </c>
    </row>
    <row r="148" spans="2:12" x14ac:dyDescent="0.25">
      <c r="B148" s="6" t="s">
        <v>2809</v>
      </c>
      <c r="C148" s="7" t="s">
        <v>2277</v>
      </c>
      <c r="D148" s="7" t="s">
        <v>2279</v>
      </c>
      <c r="E148" s="7" t="s">
        <v>2867</v>
      </c>
      <c r="F148" s="8" t="s">
        <v>2668</v>
      </c>
      <c r="G148" s="7" t="s">
        <v>2274</v>
      </c>
      <c r="H148" s="34">
        <f>3567.9*1.11</f>
        <v>3960.3690000000006</v>
      </c>
      <c r="I148" s="109">
        <f t="shared" si="6"/>
        <v>4158.3874500000011</v>
      </c>
      <c r="J148" s="109">
        <f>3935*1.08</f>
        <v>4249.8</v>
      </c>
      <c r="K148" s="34">
        <f t="shared" si="5"/>
        <v>2532.8807999999999</v>
      </c>
      <c r="L148" t="s">
        <v>3249</v>
      </c>
    </row>
    <row r="149" spans="2:12" x14ac:dyDescent="0.25">
      <c r="B149" s="6" t="s">
        <v>2810</v>
      </c>
      <c r="C149" s="7" t="s">
        <v>2270</v>
      </c>
      <c r="D149" s="7" t="s">
        <v>2280</v>
      </c>
      <c r="E149" s="7" t="s">
        <v>2867</v>
      </c>
      <c r="F149" s="8" t="s">
        <v>2669</v>
      </c>
      <c r="G149" s="7" t="s">
        <v>2272</v>
      </c>
      <c r="H149" s="34">
        <f>4173.75*1.11</f>
        <v>4632.8625000000002</v>
      </c>
      <c r="I149" s="109">
        <f t="shared" si="6"/>
        <v>4864.5056250000007</v>
      </c>
      <c r="J149" s="109">
        <f>J150+361</f>
        <v>4972.6000000000004</v>
      </c>
      <c r="K149" s="34">
        <f t="shared" si="5"/>
        <v>2963.6696000000002</v>
      </c>
      <c r="L149" t="s">
        <v>3249</v>
      </c>
    </row>
    <row r="150" spans="2:12" x14ac:dyDescent="0.25">
      <c r="B150" s="6" t="s">
        <v>2811</v>
      </c>
      <c r="C150" s="7" t="s">
        <v>2273</v>
      </c>
      <c r="D150" s="7" t="s">
        <v>2280</v>
      </c>
      <c r="E150" s="7" t="s">
        <v>2867</v>
      </c>
      <c r="F150" s="8" t="s">
        <v>2669</v>
      </c>
      <c r="G150" s="7" t="s">
        <v>2274</v>
      </c>
      <c r="H150" s="34">
        <f>3871.35*1.11</f>
        <v>4297.1985000000004</v>
      </c>
      <c r="I150" s="109">
        <f t="shared" si="6"/>
        <v>4512.0584250000011</v>
      </c>
      <c r="J150" s="109">
        <f>4270*1.08</f>
        <v>4611.6000000000004</v>
      </c>
      <c r="K150" s="34">
        <f t="shared" si="5"/>
        <v>2748.5136000000002</v>
      </c>
      <c r="L150" t="s">
        <v>3249</v>
      </c>
    </row>
    <row r="151" spans="2:12" x14ac:dyDescent="0.25">
      <c r="B151" s="6" t="s">
        <v>2812</v>
      </c>
      <c r="C151" s="7" t="s">
        <v>2275</v>
      </c>
      <c r="D151" s="7" t="s">
        <v>2281</v>
      </c>
      <c r="E151" s="7" t="s">
        <v>2867</v>
      </c>
      <c r="F151" s="8" t="s">
        <v>2670</v>
      </c>
      <c r="G151" s="7" t="s">
        <v>2272</v>
      </c>
      <c r="H151" s="34">
        <f>4260.9*1.11</f>
        <v>4729.5990000000002</v>
      </c>
      <c r="I151" s="109">
        <f t="shared" si="6"/>
        <v>4966.0789500000001</v>
      </c>
      <c r="J151" s="109">
        <f>J152+361</f>
        <v>5075.2000000000007</v>
      </c>
      <c r="K151" s="34">
        <f t="shared" si="5"/>
        <v>3024.8192000000004</v>
      </c>
      <c r="L151" t="s">
        <v>3249</v>
      </c>
    </row>
    <row r="152" spans="2:12" x14ac:dyDescent="0.25">
      <c r="B152" s="6" t="s">
        <v>2813</v>
      </c>
      <c r="C152" s="7" t="s">
        <v>2277</v>
      </c>
      <c r="D152" s="7" t="s">
        <v>2281</v>
      </c>
      <c r="E152" s="7" t="s">
        <v>2867</v>
      </c>
      <c r="F152" s="8" t="s">
        <v>2670</v>
      </c>
      <c r="G152" s="7" t="s">
        <v>2274</v>
      </c>
      <c r="H152" s="34">
        <f>3958.5*1.11</f>
        <v>4393.9350000000004</v>
      </c>
      <c r="I152" s="109">
        <f t="shared" si="6"/>
        <v>4613.6317500000005</v>
      </c>
      <c r="J152" s="109">
        <f>4365*1.08</f>
        <v>4714.2000000000007</v>
      </c>
      <c r="K152" s="34">
        <f t="shared" si="5"/>
        <v>2809.6632000000004</v>
      </c>
      <c r="L152" t="s">
        <v>3249</v>
      </c>
    </row>
    <row r="153" spans="2:12" x14ac:dyDescent="0.25">
      <c r="B153" s="6" t="s">
        <v>2814</v>
      </c>
      <c r="C153" s="7" t="s">
        <v>2270</v>
      </c>
      <c r="D153" s="7" t="s">
        <v>2282</v>
      </c>
      <c r="E153" s="7" t="s">
        <v>2867</v>
      </c>
      <c r="F153" s="8" t="s">
        <v>2671</v>
      </c>
      <c r="G153" s="7" t="s">
        <v>2272</v>
      </c>
      <c r="H153" s="34">
        <f>4594.8*1.11</f>
        <v>5100.228000000001</v>
      </c>
      <c r="I153" s="109">
        <f t="shared" si="6"/>
        <v>5355.2394000000013</v>
      </c>
      <c r="J153" s="109">
        <f>J154+361</f>
        <v>5473.72</v>
      </c>
      <c r="K153" s="34">
        <f t="shared" si="5"/>
        <v>3262.3371200000001</v>
      </c>
      <c r="L153" t="s">
        <v>3249</v>
      </c>
    </row>
    <row r="154" spans="2:12" x14ac:dyDescent="0.25">
      <c r="B154" s="6" t="s">
        <v>2815</v>
      </c>
      <c r="C154" s="7" t="s">
        <v>2273</v>
      </c>
      <c r="D154" s="7" t="s">
        <v>2282</v>
      </c>
      <c r="E154" s="7" t="s">
        <v>2867</v>
      </c>
      <c r="F154" s="8" t="s">
        <v>2671</v>
      </c>
      <c r="G154" s="7" t="s">
        <v>2274</v>
      </c>
      <c r="H154" s="34">
        <f>4292.4*1.11</f>
        <v>4764.5640000000003</v>
      </c>
      <c r="I154" s="109">
        <f t="shared" si="6"/>
        <v>5002.7922000000008</v>
      </c>
      <c r="J154" s="109">
        <f>4734*1.08</f>
        <v>5112.72</v>
      </c>
      <c r="K154" s="34">
        <f t="shared" si="5"/>
        <v>3047.1811200000002</v>
      </c>
      <c r="L154" t="s">
        <v>3249</v>
      </c>
    </row>
    <row r="155" spans="2:12" x14ac:dyDescent="0.25">
      <c r="B155" s="6" t="s">
        <v>2816</v>
      </c>
      <c r="C155" s="7" t="s">
        <v>2275</v>
      </c>
      <c r="D155" s="7" t="s">
        <v>2283</v>
      </c>
      <c r="E155" s="7" t="s">
        <v>2867</v>
      </c>
      <c r="F155" s="8" t="s">
        <v>2672</v>
      </c>
      <c r="G155" s="7" t="s">
        <v>2272</v>
      </c>
      <c r="H155" s="34">
        <f>4676.7*1.11</f>
        <v>5191.1370000000006</v>
      </c>
      <c r="I155" s="109">
        <f t="shared" si="6"/>
        <v>5450.6938500000006</v>
      </c>
      <c r="J155" s="109">
        <f>J156+361</f>
        <v>5570.92</v>
      </c>
      <c r="K155" s="34">
        <f t="shared" si="5"/>
        <v>3320.2683199999997</v>
      </c>
      <c r="L155" t="s">
        <v>3249</v>
      </c>
    </row>
    <row r="156" spans="2:12" x14ac:dyDescent="0.25">
      <c r="B156" s="6" t="s">
        <v>2817</v>
      </c>
      <c r="C156" s="7" t="s">
        <v>2277</v>
      </c>
      <c r="D156" s="7" t="s">
        <v>2283</v>
      </c>
      <c r="E156" s="7" t="s">
        <v>2867</v>
      </c>
      <c r="F156" s="8" t="s">
        <v>2672</v>
      </c>
      <c r="G156" s="7" t="s">
        <v>2274</v>
      </c>
      <c r="H156" s="34">
        <f>4374.3*1.11</f>
        <v>4855.4730000000009</v>
      </c>
      <c r="I156" s="109">
        <f t="shared" si="6"/>
        <v>5098.246650000001</v>
      </c>
      <c r="J156" s="109">
        <f>4824*1.08</f>
        <v>5209.92</v>
      </c>
      <c r="K156" s="34">
        <f t="shared" si="5"/>
        <v>3105.1123199999997</v>
      </c>
      <c r="L156" t="s">
        <v>3249</v>
      </c>
    </row>
    <row r="157" spans="2:12" x14ac:dyDescent="0.25">
      <c r="B157" s="6" t="s">
        <v>2818</v>
      </c>
      <c r="C157" s="7" t="s">
        <v>2270</v>
      </c>
      <c r="D157" s="7" t="s">
        <v>2285</v>
      </c>
      <c r="E157" s="7" t="s">
        <v>2867</v>
      </c>
      <c r="F157" s="8" t="s">
        <v>2673</v>
      </c>
      <c r="G157" s="7" t="s">
        <v>2272</v>
      </c>
      <c r="H157" s="34">
        <f>3931.73*1.11</f>
        <v>4364.2203</v>
      </c>
      <c r="I157" s="109">
        <f t="shared" si="6"/>
        <v>4582.4313149999998</v>
      </c>
      <c r="J157" s="109">
        <f>J158+361</f>
        <v>4684.2400000000007</v>
      </c>
      <c r="K157" s="34">
        <f t="shared" si="5"/>
        <v>2791.8070400000001</v>
      </c>
      <c r="L157" t="s">
        <v>3249</v>
      </c>
    </row>
    <row r="158" spans="2:12" x14ac:dyDescent="0.25">
      <c r="B158" s="6" t="s">
        <v>2819</v>
      </c>
      <c r="C158" s="7" t="s">
        <v>2273</v>
      </c>
      <c r="D158" s="7" t="s">
        <v>2285</v>
      </c>
      <c r="E158" s="7" t="s">
        <v>2867</v>
      </c>
      <c r="F158" s="8" t="s">
        <v>2673</v>
      </c>
      <c r="G158" s="7" t="s">
        <v>2274</v>
      </c>
      <c r="H158" s="34">
        <f>3629.33*1.11</f>
        <v>4028.5563000000002</v>
      </c>
      <c r="I158" s="109">
        <f t="shared" si="6"/>
        <v>4229.9841150000002</v>
      </c>
      <c r="J158" s="109">
        <f>4003*1.08</f>
        <v>4323.2400000000007</v>
      </c>
      <c r="K158" s="34">
        <f t="shared" ref="K158:K188" si="7">J158*0.596</f>
        <v>2576.6510400000002</v>
      </c>
      <c r="L158" t="s">
        <v>3249</v>
      </c>
    </row>
    <row r="159" spans="2:12" x14ac:dyDescent="0.25">
      <c r="B159" s="6" t="s">
        <v>2820</v>
      </c>
      <c r="C159" s="7" t="s">
        <v>2275</v>
      </c>
      <c r="D159" s="7" t="s">
        <v>2286</v>
      </c>
      <c r="E159" s="7" t="s">
        <v>2867</v>
      </c>
      <c r="F159" s="8" t="s">
        <v>2674</v>
      </c>
      <c r="G159" s="7" t="s">
        <v>2272</v>
      </c>
      <c r="H159" s="34">
        <f>4013.1*1.11</f>
        <v>4454.5410000000002</v>
      </c>
      <c r="I159" s="109">
        <f t="shared" si="6"/>
        <v>4677.2680500000006</v>
      </c>
      <c r="J159" s="109">
        <f>J160+361</f>
        <v>4780.3600000000006</v>
      </c>
      <c r="K159" s="34">
        <f t="shared" si="7"/>
        <v>2849.09456</v>
      </c>
      <c r="L159" t="s">
        <v>3249</v>
      </c>
    </row>
    <row r="160" spans="2:12" x14ac:dyDescent="0.25">
      <c r="B160" s="6" t="s">
        <v>2821</v>
      </c>
      <c r="C160" s="7" t="s">
        <v>2277</v>
      </c>
      <c r="D160" s="7" t="s">
        <v>2286</v>
      </c>
      <c r="E160" s="7" t="s">
        <v>2867</v>
      </c>
      <c r="F160" s="8" t="s">
        <v>2674</v>
      </c>
      <c r="G160" s="7" t="s">
        <v>2274</v>
      </c>
      <c r="H160" s="34">
        <f>3710.7*1.11</f>
        <v>4118.8770000000004</v>
      </c>
      <c r="I160" s="109">
        <f t="shared" si="6"/>
        <v>4324.820850000001</v>
      </c>
      <c r="J160" s="109">
        <f>4092*1.08</f>
        <v>4419.3600000000006</v>
      </c>
      <c r="K160" s="34">
        <f t="shared" si="7"/>
        <v>2633.9385600000001</v>
      </c>
      <c r="L160" t="s">
        <v>3249</v>
      </c>
    </row>
    <row r="161" spans="2:12" x14ac:dyDescent="0.25">
      <c r="B161" s="6" t="s">
        <v>2822</v>
      </c>
      <c r="C161" s="7" t="s">
        <v>2270</v>
      </c>
      <c r="D161" s="7" t="s">
        <v>2287</v>
      </c>
      <c r="E161" s="7" t="s">
        <v>2867</v>
      </c>
      <c r="F161" s="8" t="s">
        <v>2675</v>
      </c>
      <c r="G161" s="7" t="s">
        <v>2272</v>
      </c>
      <c r="H161" s="34">
        <f>4085.03*1.11</f>
        <v>4534.3833000000004</v>
      </c>
      <c r="I161" s="109">
        <f t="shared" si="6"/>
        <v>4761.1024650000008</v>
      </c>
      <c r="J161" s="109">
        <f>J162+361</f>
        <v>4867.84</v>
      </c>
      <c r="K161" s="34">
        <f t="shared" si="7"/>
        <v>2901.2326400000002</v>
      </c>
      <c r="L161" t="s">
        <v>3249</v>
      </c>
    </row>
    <row r="162" spans="2:12" x14ac:dyDescent="0.25">
      <c r="B162" s="6" t="s">
        <v>2823</v>
      </c>
      <c r="C162" s="7" t="s">
        <v>2273</v>
      </c>
      <c r="D162" s="7" t="s">
        <v>2287</v>
      </c>
      <c r="E162" s="7" t="s">
        <v>2867</v>
      </c>
      <c r="F162" s="8" t="s">
        <v>2675</v>
      </c>
      <c r="G162" s="7" t="s">
        <v>2274</v>
      </c>
      <c r="H162" s="34">
        <f>3782.63*1.11</f>
        <v>4198.7193000000007</v>
      </c>
      <c r="I162" s="109">
        <f t="shared" si="6"/>
        <v>4408.6552650000012</v>
      </c>
      <c r="J162" s="109">
        <f>4173*1.08</f>
        <v>4506.84</v>
      </c>
      <c r="K162" s="34">
        <f t="shared" si="7"/>
        <v>2686.0766399999998</v>
      </c>
      <c r="L162" t="s">
        <v>3249</v>
      </c>
    </row>
    <row r="163" spans="2:12" x14ac:dyDescent="0.25">
      <c r="B163" s="6" t="s">
        <v>2824</v>
      </c>
      <c r="C163" s="7" t="s">
        <v>2275</v>
      </c>
      <c r="D163" s="7" t="s">
        <v>2288</v>
      </c>
      <c r="E163" s="7" t="s">
        <v>2867</v>
      </c>
      <c r="F163" s="8" t="s">
        <v>2676</v>
      </c>
      <c r="G163" s="7" t="s">
        <v>2272</v>
      </c>
      <c r="H163" s="34">
        <f>4170.6*1.11</f>
        <v>4629.3660000000009</v>
      </c>
      <c r="I163" s="109">
        <f t="shared" si="6"/>
        <v>4860.8343000000013</v>
      </c>
      <c r="J163" s="109">
        <f>J164+361</f>
        <v>4969.3600000000006</v>
      </c>
      <c r="K163" s="34">
        <f t="shared" si="7"/>
        <v>2961.7385600000002</v>
      </c>
      <c r="L163" t="s">
        <v>3249</v>
      </c>
    </row>
    <row r="164" spans="2:12" x14ac:dyDescent="0.25">
      <c r="B164" s="6" t="s">
        <v>2825</v>
      </c>
      <c r="C164" s="7" t="s">
        <v>2277</v>
      </c>
      <c r="D164" s="7" t="s">
        <v>2288</v>
      </c>
      <c r="E164" s="7" t="s">
        <v>2867</v>
      </c>
      <c r="F164" s="8" t="s">
        <v>2676</v>
      </c>
      <c r="G164" s="7" t="s">
        <v>2274</v>
      </c>
      <c r="H164" s="34">
        <f>3868.2*1.11</f>
        <v>4293.7020000000002</v>
      </c>
      <c r="I164" s="109">
        <f t="shared" si="6"/>
        <v>4508.3871000000008</v>
      </c>
      <c r="J164" s="109">
        <f>4267*1.08</f>
        <v>4608.3600000000006</v>
      </c>
      <c r="K164" s="34">
        <f t="shared" si="7"/>
        <v>2746.5825600000003</v>
      </c>
      <c r="L164" t="s">
        <v>3249</v>
      </c>
    </row>
    <row r="165" spans="2:12" x14ac:dyDescent="0.25">
      <c r="B165" s="6" t="s">
        <v>2826</v>
      </c>
      <c r="C165" s="7" t="s">
        <v>2270</v>
      </c>
      <c r="D165" s="7" t="s">
        <v>2289</v>
      </c>
      <c r="E165" s="7" t="s">
        <v>2867</v>
      </c>
      <c r="F165" s="8" t="s">
        <v>2677</v>
      </c>
      <c r="G165" s="7" t="s">
        <v>2272</v>
      </c>
      <c r="H165" s="34">
        <f>4481.4*1.11</f>
        <v>4974.3540000000003</v>
      </c>
      <c r="I165" s="109">
        <f t="shared" si="6"/>
        <v>5223.0717000000004</v>
      </c>
      <c r="J165" s="109">
        <f>J166+361</f>
        <v>5338.72</v>
      </c>
      <c r="K165" s="34">
        <f t="shared" si="7"/>
        <v>3181.8771200000001</v>
      </c>
      <c r="L165" t="s">
        <v>3249</v>
      </c>
    </row>
    <row r="166" spans="2:12" x14ac:dyDescent="0.25">
      <c r="B166" s="6" t="s">
        <v>2827</v>
      </c>
      <c r="C166" s="7" t="s">
        <v>2273</v>
      </c>
      <c r="D166" s="7" t="s">
        <v>2289</v>
      </c>
      <c r="E166" s="7" t="s">
        <v>2867</v>
      </c>
      <c r="F166" s="8" t="s">
        <v>2677</v>
      </c>
      <c r="G166" s="7" t="s">
        <v>2274</v>
      </c>
      <c r="H166" s="34">
        <f>4179*1.11</f>
        <v>4638.6900000000005</v>
      </c>
      <c r="I166" s="109">
        <f t="shared" si="6"/>
        <v>4870.6245000000008</v>
      </c>
      <c r="J166" s="109">
        <f>4609*1.08</f>
        <v>4977.72</v>
      </c>
      <c r="K166" s="34">
        <f t="shared" si="7"/>
        <v>2966.7211200000002</v>
      </c>
      <c r="L166" t="s">
        <v>3249</v>
      </c>
    </row>
    <row r="167" spans="2:12" x14ac:dyDescent="0.25">
      <c r="B167" s="6" t="s">
        <v>2828</v>
      </c>
      <c r="C167" s="7" t="s">
        <v>2275</v>
      </c>
      <c r="D167" s="7" t="s">
        <v>2290</v>
      </c>
      <c r="E167" s="7" t="s">
        <v>2867</v>
      </c>
      <c r="F167" s="8" t="s">
        <v>2678</v>
      </c>
      <c r="G167" s="7" t="s">
        <v>2272</v>
      </c>
      <c r="H167" s="34">
        <f>4575.9*1.11</f>
        <v>5079.2489999999998</v>
      </c>
      <c r="I167" s="109">
        <f t="shared" si="6"/>
        <v>5333.2114499999998</v>
      </c>
      <c r="J167" s="109">
        <f>J168+361</f>
        <v>5451.04</v>
      </c>
      <c r="K167" s="34">
        <f t="shared" si="7"/>
        <v>3248.8198399999997</v>
      </c>
      <c r="L167" t="s">
        <v>3249</v>
      </c>
    </row>
    <row r="168" spans="2:12" x14ac:dyDescent="0.25">
      <c r="B168" s="6" t="s">
        <v>2829</v>
      </c>
      <c r="C168" s="7" t="s">
        <v>2277</v>
      </c>
      <c r="D168" s="7" t="s">
        <v>2290</v>
      </c>
      <c r="E168" s="7" t="s">
        <v>2867</v>
      </c>
      <c r="F168" s="8" t="s">
        <v>2678</v>
      </c>
      <c r="G168" s="7" t="s">
        <v>2274</v>
      </c>
      <c r="H168" s="34">
        <f>4273.5*1.11</f>
        <v>4743.585</v>
      </c>
      <c r="I168" s="109">
        <f t="shared" si="6"/>
        <v>4980.7642500000002</v>
      </c>
      <c r="J168" s="109">
        <f>4713*1.08</f>
        <v>5090.04</v>
      </c>
      <c r="K168" s="34">
        <f t="shared" si="7"/>
        <v>3033.6638399999997</v>
      </c>
      <c r="L168" t="s">
        <v>3249</v>
      </c>
    </row>
    <row r="169" spans="2:12" x14ac:dyDescent="0.25">
      <c r="B169" s="6" t="s">
        <v>2830</v>
      </c>
      <c r="C169" s="7" t="s">
        <v>2270</v>
      </c>
      <c r="D169" s="7" t="s">
        <v>2291</v>
      </c>
      <c r="E169" s="7" t="s">
        <v>2867</v>
      </c>
      <c r="F169" s="8" t="s">
        <v>2679</v>
      </c>
      <c r="G169" s="7" t="s">
        <v>2272</v>
      </c>
      <c r="H169" s="34">
        <f>4883.03*1.11</f>
        <v>5420.1633000000002</v>
      </c>
      <c r="I169" s="109">
        <f t="shared" si="6"/>
        <v>5691.1714650000004</v>
      </c>
      <c r="J169" s="109">
        <f>J170+361</f>
        <v>5817.1600000000008</v>
      </c>
      <c r="K169" s="34">
        <f t="shared" si="7"/>
        <v>3467.0273600000005</v>
      </c>
      <c r="L169" t="s">
        <v>3249</v>
      </c>
    </row>
    <row r="170" spans="2:12" x14ac:dyDescent="0.25">
      <c r="B170" s="6" t="s">
        <v>2831</v>
      </c>
      <c r="C170" s="7" t="s">
        <v>2273</v>
      </c>
      <c r="D170" s="7" t="s">
        <v>2291</v>
      </c>
      <c r="E170" s="7" t="s">
        <v>2867</v>
      </c>
      <c r="F170" s="8" t="s">
        <v>2679</v>
      </c>
      <c r="G170" s="7" t="s">
        <v>2274</v>
      </c>
      <c r="H170" s="34">
        <f>4580.63*1.11</f>
        <v>5084.4993000000004</v>
      </c>
      <c r="I170" s="109">
        <f t="shared" si="6"/>
        <v>5338.7242650000007</v>
      </c>
      <c r="J170" s="109">
        <f>5052*1.08</f>
        <v>5456.1600000000008</v>
      </c>
      <c r="K170" s="34">
        <f t="shared" si="7"/>
        <v>3251.8713600000001</v>
      </c>
      <c r="L170" t="s">
        <v>3249</v>
      </c>
    </row>
    <row r="171" spans="2:12" x14ac:dyDescent="0.25">
      <c r="B171" s="6" t="s">
        <v>2832</v>
      </c>
      <c r="C171" s="7" t="s">
        <v>2275</v>
      </c>
      <c r="D171" s="7" t="s">
        <v>2292</v>
      </c>
      <c r="E171" s="7" t="s">
        <v>2867</v>
      </c>
      <c r="F171" s="8" t="s">
        <v>2680</v>
      </c>
      <c r="G171" s="7" t="s">
        <v>2272</v>
      </c>
      <c r="H171" s="34">
        <f>4986.45*1.11</f>
        <v>5534.9594999999999</v>
      </c>
      <c r="I171" s="109">
        <f t="shared" si="6"/>
        <v>5811.7074750000002</v>
      </c>
      <c r="J171" s="109">
        <f>J172+361</f>
        <v>5940.2800000000007</v>
      </c>
      <c r="K171" s="34">
        <f t="shared" si="7"/>
        <v>3540.4068800000005</v>
      </c>
      <c r="L171" t="s">
        <v>3249</v>
      </c>
    </row>
    <row r="172" spans="2:12" x14ac:dyDescent="0.25">
      <c r="B172" s="6" t="s">
        <v>2833</v>
      </c>
      <c r="C172" s="7" t="s">
        <v>2277</v>
      </c>
      <c r="D172" s="7" t="s">
        <v>2292</v>
      </c>
      <c r="E172" s="7" t="s">
        <v>2867</v>
      </c>
      <c r="F172" s="8" t="s">
        <v>2680</v>
      </c>
      <c r="G172" s="7" t="s">
        <v>2274</v>
      </c>
      <c r="H172" s="34">
        <f>4684.05*1.11</f>
        <v>5199.2955000000011</v>
      </c>
      <c r="I172" s="109">
        <f t="shared" si="6"/>
        <v>5459.2602750000015</v>
      </c>
      <c r="J172" s="109">
        <f>5166*1.08</f>
        <v>5579.2800000000007</v>
      </c>
      <c r="K172" s="34">
        <f t="shared" si="7"/>
        <v>3325.2508800000001</v>
      </c>
      <c r="L172" t="s">
        <v>3249</v>
      </c>
    </row>
    <row r="173" spans="2:12" x14ac:dyDescent="0.25">
      <c r="B173" s="6" t="s">
        <v>2834</v>
      </c>
      <c r="C173" s="7" t="s">
        <v>2270</v>
      </c>
      <c r="D173" s="7" t="s">
        <v>2297</v>
      </c>
      <c r="E173" s="7" t="s">
        <v>2867</v>
      </c>
      <c r="F173" s="8" t="s">
        <v>2681</v>
      </c>
      <c r="G173" s="7" t="s">
        <v>2272</v>
      </c>
      <c r="H173" s="34">
        <f>4289.78*1.11</f>
        <v>4761.6558000000005</v>
      </c>
      <c r="I173" s="109">
        <f t="shared" si="6"/>
        <v>4999.7385900000008</v>
      </c>
      <c r="J173" s="109">
        <f>J174+361</f>
        <v>5110.84</v>
      </c>
      <c r="K173" s="34">
        <f t="shared" si="7"/>
        <v>3046.0606400000001</v>
      </c>
      <c r="L173" t="s">
        <v>3249</v>
      </c>
    </row>
    <row r="174" spans="2:12" x14ac:dyDescent="0.25">
      <c r="B174" s="6" t="s">
        <v>2835</v>
      </c>
      <c r="C174" s="7" t="s">
        <v>2273</v>
      </c>
      <c r="D174" s="7" t="s">
        <v>237</v>
      </c>
      <c r="E174" s="7" t="s">
        <v>2867</v>
      </c>
      <c r="F174" s="8" t="s">
        <v>2681</v>
      </c>
      <c r="G174" s="7" t="s">
        <v>2274</v>
      </c>
      <c r="H174" s="34">
        <f>3987.38*1.11</f>
        <v>4425.9918000000007</v>
      </c>
      <c r="I174" s="109">
        <f t="shared" si="6"/>
        <v>4647.2913900000012</v>
      </c>
      <c r="J174" s="109">
        <f>4398*1.08</f>
        <v>4749.84</v>
      </c>
      <c r="K174" s="34">
        <f t="shared" si="7"/>
        <v>2830.9046399999997</v>
      </c>
      <c r="L174" t="s">
        <v>3249</v>
      </c>
    </row>
    <row r="175" spans="2:12" x14ac:dyDescent="0.25">
      <c r="B175" s="6" t="s">
        <v>2836</v>
      </c>
      <c r="C175" s="7" t="s">
        <v>2275</v>
      </c>
      <c r="D175" s="7" t="s">
        <v>2298</v>
      </c>
      <c r="E175" s="7" t="s">
        <v>2867</v>
      </c>
      <c r="F175" s="8" t="s">
        <v>2682</v>
      </c>
      <c r="G175" s="7" t="s">
        <v>2272</v>
      </c>
      <c r="H175" s="34">
        <f>4379.55*1.11</f>
        <v>4861.3005000000003</v>
      </c>
      <c r="I175" s="109">
        <f t="shared" si="6"/>
        <v>5104.3655250000002</v>
      </c>
      <c r="J175" s="109">
        <f>J176+361</f>
        <v>5217.76</v>
      </c>
      <c r="K175" s="34">
        <f t="shared" si="7"/>
        <v>3109.78496</v>
      </c>
      <c r="L175" t="s">
        <v>3249</v>
      </c>
    </row>
    <row r="176" spans="2:12" x14ac:dyDescent="0.25">
      <c r="B176" s="6" t="s">
        <v>2837</v>
      </c>
      <c r="C176" s="7" t="s">
        <v>2277</v>
      </c>
      <c r="D176" s="7" t="s">
        <v>2293</v>
      </c>
      <c r="E176" s="7" t="s">
        <v>2867</v>
      </c>
      <c r="F176" s="8" t="s">
        <v>2682</v>
      </c>
      <c r="G176" s="7" t="s">
        <v>2274</v>
      </c>
      <c r="H176" s="34">
        <f>4077.15*1.11</f>
        <v>4525.6365000000005</v>
      </c>
      <c r="I176" s="109">
        <f t="shared" si="6"/>
        <v>4751.9183250000006</v>
      </c>
      <c r="J176" s="109">
        <f>4497*1.08</f>
        <v>4856.76</v>
      </c>
      <c r="K176" s="34">
        <f t="shared" si="7"/>
        <v>2894.62896</v>
      </c>
      <c r="L176" t="s">
        <v>3249</v>
      </c>
    </row>
    <row r="177" spans="1:12" x14ac:dyDescent="0.25">
      <c r="B177" s="6" t="s">
        <v>2838</v>
      </c>
      <c r="C177" s="7" t="s">
        <v>2270</v>
      </c>
      <c r="D177" s="7" t="s">
        <v>239</v>
      </c>
      <c r="E177" s="7" t="s">
        <v>2867</v>
      </c>
      <c r="F177" s="8" t="s">
        <v>2683</v>
      </c>
      <c r="G177" s="7" t="s">
        <v>2272</v>
      </c>
      <c r="H177" s="34">
        <f>4893*1.11</f>
        <v>5431.2300000000005</v>
      </c>
      <c r="I177" s="109">
        <f t="shared" si="6"/>
        <v>5702.7915000000012</v>
      </c>
      <c r="J177" s="109">
        <f>J178+361</f>
        <v>5829.04</v>
      </c>
      <c r="K177" s="34">
        <f t="shared" si="7"/>
        <v>3474.1078399999997</v>
      </c>
      <c r="L177" t="s">
        <v>3249</v>
      </c>
    </row>
    <row r="178" spans="1:12" x14ac:dyDescent="0.25">
      <c r="B178" s="6" t="s">
        <v>2839</v>
      </c>
      <c r="C178" s="7" t="s">
        <v>2273</v>
      </c>
      <c r="D178" s="7" t="s">
        <v>239</v>
      </c>
      <c r="E178" s="7" t="s">
        <v>2867</v>
      </c>
      <c r="F178" s="8" t="s">
        <v>2683</v>
      </c>
      <c r="G178" s="7" t="s">
        <v>2274</v>
      </c>
      <c r="H178" s="34">
        <f>4590.6*1.11</f>
        <v>5095.5660000000007</v>
      </c>
      <c r="I178" s="109">
        <f t="shared" si="6"/>
        <v>5350.3443000000007</v>
      </c>
      <c r="J178" s="109">
        <f>5063*1.08</f>
        <v>5468.04</v>
      </c>
      <c r="K178" s="34">
        <f t="shared" si="7"/>
        <v>3258.9518399999997</v>
      </c>
      <c r="L178" t="s">
        <v>3249</v>
      </c>
    </row>
    <row r="179" spans="1:12" x14ac:dyDescent="0.25">
      <c r="B179" s="6" t="s">
        <v>2840</v>
      </c>
      <c r="C179" s="7" t="s">
        <v>2275</v>
      </c>
      <c r="D179" s="7" t="s">
        <v>2294</v>
      </c>
      <c r="E179" s="7" t="s">
        <v>2867</v>
      </c>
      <c r="F179" s="8" t="s">
        <v>2684</v>
      </c>
      <c r="G179" s="7" t="s">
        <v>2272</v>
      </c>
      <c r="H179" s="34">
        <f>4995.9*1.11</f>
        <v>5545.4490000000005</v>
      </c>
      <c r="I179" s="109">
        <f t="shared" si="6"/>
        <v>5822.7214500000009</v>
      </c>
      <c r="J179" s="109">
        <f>J180+361</f>
        <v>5951.08</v>
      </c>
      <c r="K179" s="34">
        <f t="shared" si="7"/>
        <v>3546.8436799999999</v>
      </c>
      <c r="L179" t="s">
        <v>3249</v>
      </c>
    </row>
    <row r="180" spans="1:12" x14ac:dyDescent="0.25">
      <c r="B180" s="6" t="s">
        <v>2841</v>
      </c>
      <c r="C180" s="7" t="s">
        <v>2277</v>
      </c>
      <c r="D180" s="7" t="s">
        <v>2294</v>
      </c>
      <c r="E180" s="7" t="s">
        <v>2867</v>
      </c>
      <c r="F180" s="8" t="s">
        <v>2684</v>
      </c>
      <c r="G180" s="7" t="s">
        <v>2274</v>
      </c>
      <c r="H180" s="34">
        <f>4693.5*1.11</f>
        <v>5209.7850000000008</v>
      </c>
      <c r="I180" s="109">
        <f t="shared" si="6"/>
        <v>5470.2742500000013</v>
      </c>
      <c r="J180" s="109">
        <f>5176*1.08</f>
        <v>5590.08</v>
      </c>
      <c r="K180" s="34">
        <f t="shared" si="7"/>
        <v>3331.68768</v>
      </c>
      <c r="L180" t="s">
        <v>3249</v>
      </c>
    </row>
    <row r="181" spans="1:12" x14ac:dyDescent="0.25">
      <c r="B181" s="6" t="s">
        <v>2842</v>
      </c>
      <c r="C181" s="7" t="s">
        <v>2270</v>
      </c>
      <c r="D181" s="7" t="s">
        <v>241</v>
      </c>
      <c r="E181" s="7" t="s">
        <v>2867</v>
      </c>
      <c r="F181" s="8" t="s">
        <v>2685</v>
      </c>
      <c r="G181" s="7" t="s">
        <v>2272</v>
      </c>
      <c r="H181" s="34">
        <f>5317.2*1.11</f>
        <v>5902.0920000000006</v>
      </c>
      <c r="I181" s="109">
        <f t="shared" si="6"/>
        <v>6197.1966000000011</v>
      </c>
      <c r="J181" s="109">
        <f>J182+361</f>
        <v>6334.4800000000005</v>
      </c>
      <c r="K181" s="34">
        <f t="shared" si="7"/>
        <v>3775.3500800000002</v>
      </c>
      <c r="L181" t="s">
        <v>3249</v>
      </c>
    </row>
    <row r="182" spans="1:12" x14ac:dyDescent="0.25">
      <c r="B182" s="6" t="s">
        <v>2843</v>
      </c>
      <c r="C182" s="7" t="s">
        <v>2273</v>
      </c>
      <c r="D182" s="7" t="s">
        <v>241</v>
      </c>
      <c r="E182" s="7" t="s">
        <v>2867</v>
      </c>
      <c r="F182" s="8" t="s">
        <v>2685</v>
      </c>
      <c r="G182" s="7" t="s">
        <v>2274</v>
      </c>
      <c r="H182" s="34">
        <f>5014.8*1.11</f>
        <v>5566.4280000000008</v>
      </c>
      <c r="I182" s="109">
        <f t="shared" si="6"/>
        <v>5844.7494000000015</v>
      </c>
      <c r="J182" s="109">
        <f>5531*1.08</f>
        <v>5973.4800000000005</v>
      </c>
      <c r="K182" s="34">
        <f t="shared" si="7"/>
        <v>3560.1940800000002</v>
      </c>
      <c r="L182" t="s">
        <v>3249</v>
      </c>
    </row>
    <row r="183" spans="1:12" x14ac:dyDescent="0.25">
      <c r="B183" s="6" t="s">
        <v>2844</v>
      </c>
      <c r="C183" s="7" t="s">
        <v>2275</v>
      </c>
      <c r="D183" s="7" t="s">
        <v>2295</v>
      </c>
      <c r="E183" s="7" t="s">
        <v>2867</v>
      </c>
      <c r="F183" s="8" t="s">
        <v>2686</v>
      </c>
      <c r="G183" s="7" t="s">
        <v>2272</v>
      </c>
      <c r="H183" s="34">
        <f>5429.55*1.11</f>
        <v>6026.8005000000003</v>
      </c>
      <c r="I183" s="109">
        <f t="shared" si="6"/>
        <v>6328.1405250000007</v>
      </c>
      <c r="J183" s="109">
        <f>J184+361</f>
        <v>6468.4000000000005</v>
      </c>
      <c r="K183" s="34">
        <f t="shared" si="7"/>
        <v>3855.1664000000001</v>
      </c>
      <c r="L183" t="s">
        <v>3249</v>
      </c>
    </row>
    <row r="184" spans="1:12" x14ac:dyDescent="0.25">
      <c r="B184" s="6" t="s">
        <v>2845</v>
      </c>
      <c r="C184" s="7" t="s">
        <v>2277</v>
      </c>
      <c r="D184" s="7" t="s">
        <v>2295</v>
      </c>
      <c r="E184" s="7" t="s">
        <v>2867</v>
      </c>
      <c r="F184" s="8" t="s">
        <v>2686</v>
      </c>
      <c r="G184" s="7" t="s">
        <v>2274</v>
      </c>
      <c r="H184" s="34">
        <f>5127.15*1.11</f>
        <v>5691.1365000000005</v>
      </c>
      <c r="I184" s="109">
        <f t="shared" si="6"/>
        <v>5975.6933250000011</v>
      </c>
      <c r="J184" s="109">
        <f>5655*1.08</f>
        <v>6107.4000000000005</v>
      </c>
      <c r="K184" s="34">
        <f t="shared" si="7"/>
        <v>3640.0104000000001</v>
      </c>
      <c r="L184" t="s">
        <v>3249</v>
      </c>
    </row>
    <row r="185" spans="1:12" x14ac:dyDescent="0.25">
      <c r="B185" s="6" t="s">
        <v>2846</v>
      </c>
      <c r="C185" s="7" t="s">
        <v>2270</v>
      </c>
      <c r="D185" s="7" t="s">
        <v>243</v>
      </c>
      <c r="E185" s="7" t="s">
        <v>2867</v>
      </c>
      <c r="F185" s="8" t="s">
        <v>2687</v>
      </c>
      <c r="G185" s="7" t="s">
        <v>2272</v>
      </c>
      <c r="H185" s="34">
        <f>5848.5*1.11</f>
        <v>6491.8350000000009</v>
      </c>
      <c r="I185" s="109">
        <f t="shared" si="6"/>
        <v>6816.4267500000014</v>
      </c>
      <c r="J185" s="109">
        <f>J186+361</f>
        <v>6967.3600000000006</v>
      </c>
      <c r="K185" s="34">
        <f t="shared" si="7"/>
        <v>4152.5465599999998</v>
      </c>
      <c r="L185" t="s">
        <v>3249</v>
      </c>
    </row>
    <row r="186" spans="1:12" x14ac:dyDescent="0.25">
      <c r="B186" s="6" t="s">
        <v>2847</v>
      </c>
      <c r="C186" s="7" t="s">
        <v>2273</v>
      </c>
      <c r="D186" s="7" t="s">
        <v>243</v>
      </c>
      <c r="E186" s="7" t="s">
        <v>2867</v>
      </c>
      <c r="F186" s="8" t="s">
        <v>2687</v>
      </c>
      <c r="G186" s="7" t="s">
        <v>2274</v>
      </c>
      <c r="H186" s="34">
        <f>5546.1*1.11</f>
        <v>6156.1710000000012</v>
      </c>
      <c r="I186" s="109">
        <f t="shared" si="6"/>
        <v>6463.9795500000018</v>
      </c>
      <c r="J186" s="109">
        <f>6117*1.08</f>
        <v>6606.3600000000006</v>
      </c>
      <c r="K186" s="34">
        <f t="shared" si="7"/>
        <v>3937.3905600000003</v>
      </c>
      <c r="L186" t="s">
        <v>3249</v>
      </c>
    </row>
    <row r="187" spans="1:12" x14ac:dyDescent="0.25">
      <c r="B187" s="6" t="s">
        <v>2848</v>
      </c>
      <c r="C187" s="7" t="s">
        <v>2275</v>
      </c>
      <c r="D187" s="7" t="s">
        <v>2296</v>
      </c>
      <c r="E187" s="7" t="s">
        <v>2867</v>
      </c>
      <c r="F187" s="8" t="s">
        <v>2688</v>
      </c>
      <c r="G187" s="7" t="s">
        <v>2272</v>
      </c>
      <c r="H187" s="34">
        <f>5973.45*1.11</f>
        <v>6630.5295000000006</v>
      </c>
      <c r="I187" s="109">
        <f t="shared" si="6"/>
        <v>6962.0559750000011</v>
      </c>
      <c r="J187" s="109">
        <f>J188+361</f>
        <v>7115.3200000000006</v>
      </c>
      <c r="K187" s="34">
        <f t="shared" si="7"/>
        <v>4240.7307200000005</v>
      </c>
      <c r="L187" t="s">
        <v>3249</v>
      </c>
    </row>
    <row r="188" spans="1:12" x14ac:dyDescent="0.25">
      <c r="B188" s="6" t="s">
        <v>2849</v>
      </c>
      <c r="C188" s="7" t="s">
        <v>2277</v>
      </c>
      <c r="D188" s="7" t="s">
        <v>2299</v>
      </c>
      <c r="E188" s="7" t="s">
        <v>2867</v>
      </c>
      <c r="F188" s="8" t="s">
        <v>2688</v>
      </c>
      <c r="G188" s="7" t="s">
        <v>2274</v>
      </c>
      <c r="H188" s="34">
        <f>5671.05*1.11</f>
        <v>6294.8655000000008</v>
      </c>
      <c r="I188" s="109">
        <f t="shared" si="6"/>
        <v>6609.6087750000015</v>
      </c>
      <c r="J188" s="109">
        <f>6254*1.08</f>
        <v>6754.3200000000006</v>
      </c>
      <c r="K188" s="34">
        <f t="shared" si="7"/>
        <v>4025.5747200000001</v>
      </c>
      <c r="L188" t="s">
        <v>3249</v>
      </c>
    </row>
    <row r="189" spans="1:12" s="62" customFormat="1" x14ac:dyDescent="0.25">
      <c r="A189" s="62" t="s">
        <v>2954</v>
      </c>
      <c r="B189" s="75" t="s">
        <v>2903</v>
      </c>
      <c r="C189" s="63"/>
      <c r="D189" s="63"/>
      <c r="E189" s="63"/>
      <c r="F189" s="84"/>
      <c r="G189" s="63"/>
      <c r="H189" s="63"/>
      <c r="I189" s="109">
        <f t="shared" si="6"/>
        <v>0</v>
      </c>
      <c r="J189" s="108"/>
      <c r="K189" s="65"/>
    </row>
    <row r="190" spans="1:12" x14ac:dyDescent="0.25">
      <c r="B190" s="6" t="s">
        <v>2850</v>
      </c>
      <c r="C190" s="7" t="s">
        <v>2300</v>
      </c>
      <c r="D190" s="7" t="s">
        <v>2301</v>
      </c>
      <c r="E190" s="7" t="s">
        <v>2868</v>
      </c>
      <c r="F190" s="2" t="s">
        <v>2689</v>
      </c>
      <c r="G190" s="7" t="s">
        <v>2302</v>
      </c>
      <c r="H190" s="34">
        <f>2488.5*1.11</f>
        <v>2762.2350000000001</v>
      </c>
      <c r="I190" s="109">
        <f t="shared" si="6"/>
        <v>2900.3467500000002</v>
      </c>
      <c r="J190" s="109">
        <f>1793+986+461</f>
        <v>3240</v>
      </c>
      <c r="K190" s="34">
        <f>J190*0.596</f>
        <v>1931.04</v>
      </c>
      <c r="L190" t="s">
        <v>3249</v>
      </c>
    </row>
    <row r="191" spans="1:12" x14ac:dyDescent="0.25">
      <c r="B191" s="6" t="s">
        <v>2851</v>
      </c>
      <c r="C191" s="7" t="s">
        <v>2300</v>
      </c>
      <c r="D191" s="7" t="s">
        <v>2303</v>
      </c>
      <c r="E191" s="7" t="s">
        <v>2868</v>
      </c>
      <c r="F191" s="2" t="s">
        <v>2690</v>
      </c>
      <c r="G191" s="7" t="s">
        <v>2302</v>
      </c>
      <c r="H191" s="34">
        <f>2962.05*1.11</f>
        <v>3287.8755000000006</v>
      </c>
      <c r="I191" s="109">
        <f t="shared" si="6"/>
        <v>3452.2692750000006</v>
      </c>
      <c r="J191" s="109">
        <f>1876+986+461</f>
        <v>3323</v>
      </c>
      <c r="K191" s="34">
        <f t="shared" ref="K191:K254" si="8">J191*0.596</f>
        <v>1980.5079999999998</v>
      </c>
      <c r="L191" t="s">
        <v>3249</v>
      </c>
    </row>
    <row r="192" spans="1:12" x14ac:dyDescent="0.25">
      <c r="B192" s="6" t="s">
        <v>2852</v>
      </c>
      <c r="C192" s="7" t="s">
        <v>2300</v>
      </c>
      <c r="D192" s="7" t="s">
        <v>2304</v>
      </c>
      <c r="E192" s="7" t="s">
        <v>2868</v>
      </c>
      <c r="F192" s="2" t="s">
        <v>2691</v>
      </c>
      <c r="G192" s="7" t="s">
        <v>2302</v>
      </c>
      <c r="H192" s="34">
        <f>3340.05*1.11</f>
        <v>3707.4555000000005</v>
      </c>
      <c r="I192" s="109">
        <f t="shared" si="6"/>
        <v>3892.8282750000008</v>
      </c>
      <c r="J192" s="109">
        <f>2296+1082+461</f>
        <v>3839</v>
      </c>
      <c r="K192" s="34">
        <f t="shared" si="8"/>
        <v>2288.0439999999999</v>
      </c>
      <c r="L192" t="s">
        <v>3249</v>
      </c>
    </row>
    <row r="193" spans="1:12" x14ac:dyDescent="0.25">
      <c r="B193" s="6" t="s">
        <v>2853</v>
      </c>
      <c r="C193" s="7" t="s">
        <v>2305</v>
      </c>
      <c r="D193" s="7" t="s">
        <v>2306</v>
      </c>
      <c r="E193" s="7" t="s">
        <v>2868</v>
      </c>
      <c r="F193" s="2" t="s">
        <v>2692</v>
      </c>
      <c r="G193" s="7" t="s">
        <v>2302</v>
      </c>
      <c r="H193" s="34">
        <f>2675.4*1.11</f>
        <v>2969.6940000000004</v>
      </c>
      <c r="I193" s="109">
        <f t="shared" si="6"/>
        <v>3118.1787000000004</v>
      </c>
      <c r="J193" s="109">
        <f>1752+986+461</f>
        <v>3199</v>
      </c>
      <c r="K193" s="34">
        <f t="shared" si="8"/>
        <v>1906.6039999999998</v>
      </c>
      <c r="L193" t="s">
        <v>3249</v>
      </c>
    </row>
    <row r="194" spans="1:12" x14ac:dyDescent="0.25">
      <c r="B194" s="6" t="s">
        <v>2854</v>
      </c>
      <c r="C194" s="7" t="s">
        <v>2305</v>
      </c>
      <c r="D194" s="7" t="s">
        <v>2307</v>
      </c>
      <c r="E194" s="7" t="s">
        <v>2868</v>
      </c>
      <c r="F194" s="2" t="s">
        <v>2693</v>
      </c>
      <c r="G194" s="7" t="s">
        <v>2302</v>
      </c>
      <c r="H194" s="34">
        <f>2927.4*1.11</f>
        <v>3249.4140000000002</v>
      </c>
      <c r="I194" s="109">
        <f t="shared" si="6"/>
        <v>3411.8847000000005</v>
      </c>
      <c r="J194" s="109">
        <f>1805+986+461</f>
        <v>3252</v>
      </c>
      <c r="K194" s="34">
        <f t="shared" si="8"/>
        <v>1938.192</v>
      </c>
      <c r="L194" t="s">
        <v>3249</v>
      </c>
    </row>
    <row r="195" spans="1:12" x14ac:dyDescent="0.25">
      <c r="B195" s="6" t="s">
        <v>2855</v>
      </c>
      <c r="C195" s="7" t="s">
        <v>2305</v>
      </c>
      <c r="D195" s="7" t="s">
        <v>2308</v>
      </c>
      <c r="E195" s="7" t="s">
        <v>2868</v>
      </c>
      <c r="F195" s="2" t="s">
        <v>3251</v>
      </c>
      <c r="G195" s="7" t="s">
        <v>2302</v>
      </c>
      <c r="H195" s="34">
        <f>3088.05*1.11</f>
        <v>3427.7355000000007</v>
      </c>
      <c r="I195" s="109">
        <f t="shared" si="6"/>
        <v>3599.1222750000011</v>
      </c>
      <c r="J195" s="109">
        <f>1995+986+461</f>
        <v>3442</v>
      </c>
      <c r="K195" s="34">
        <f t="shared" si="8"/>
        <v>2051.4319999999998</v>
      </c>
      <c r="L195" t="s">
        <v>3249</v>
      </c>
    </row>
    <row r="196" spans="1:12" s="61" customFormat="1" x14ac:dyDescent="0.25">
      <c r="A196" s="62" t="s">
        <v>4185</v>
      </c>
      <c r="B196" s="130" t="s">
        <v>4116</v>
      </c>
      <c r="F196" s="127"/>
      <c r="H196" s="128"/>
      <c r="I196" s="129"/>
      <c r="J196" s="129"/>
      <c r="K196" s="65"/>
    </row>
    <row r="197" spans="1:12" x14ac:dyDescent="0.25">
      <c r="B197" s="53" t="s">
        <v>4026</v>
      </c>
      <c r="C197" s="7" t="s">
        <v>4138</v>
      </c>
      <c r="D197" s="7" t="s">
        <v>124</v>
      </c>
      <c r="E197" s="7" t="s">
        <v>4116</v>
      </c>
      <c r="F197" s="2" t="s">
        <v>4143</v>
      </c>
      <c r="G197" s="7" t="s">
        <v>5004</v>
      </c>
      <c r="H197" s="7" t="s">
        <v>4027</v>
      </c>
      <c r="I197" s="109" t="s">
        <v>4028</v>
      </c>
      <c r="J197" s="131">
        <v>6465</v>
      </c>
      <c r="K197" s="34">
        <f t="shared" si="8"/>
        <v>3853.14</v>
      </c>
      <c r="L197" t="s">
        <v>4139</v>
      </c>
    </row>
    <row r="198" spans="1:12" x14ac:dyDescent="0.25">
      <c r="B198" s="53" t="s">
        <v>4029</v>
      </c>
      <c r="C198" s="7" t="s">
        <v>4138</v>
      </c>
      <c r="D198" s="7" t="s">
        <v>125</v>
      </c>
      <c r="E198" s="7" t="s">
        <v>4116</v>
      </c>
      <c r="F198" s="7" t="s">
        <v>4142</v>
      </c>
      <c r="G198" s="7" t="s">
        <v>5004</v>
      </c>
      <c r="H198" s="7" t="s">
        <v>4027</v>
      </c>
      <c r="I198" s="109" t="s">
        <v>4028</v>
      </c>
      <c r="J198" s="131">
        <v>6465</v>
      </c>
      <c r="K198" s="34">
        <f t="shared" si="8"/>
        <v>3853.14</v>
      </c>
      <c r="L198" t="s">
        <v>4139</v>
      </c>
    </row>
    <row r="199" spans="1:12" x14ac:dyDescent="0.25">
      <c r="B199" s="53" t="s">
        <v>4030</v>
      </c>
      <c r="C199" s="7" t="s">
        <v>4138</v>
      </c>
      <c r="D199" s="7" t="s">
        <v>126</v>
      </c>
      <c r="E199" s="7" t="s">
        <v>4116</v>
      </c>
      <c r="F199" s="7" t="s">
        <v>4141</v>
      </c>
      <c r="G199" s="7" t="s">
        <v>5004</v>
      </c>
      <c r="H199" s="7" t="s">
        <v>4027</v>
      </c>
      <c r="I199" s="109" t="s">
        <v>4028</v>
      </c>
      <c r="J199" s="131">
        <v>6465</v>
      </c>
      <c r="K199" s="34">
        <f t="shared" si="8"/>
        <v>3853.14</v>
      </c>
      <c r="L199" t="s">
        <v>4139</v>
      </c>
    </row>
    <row r="200" spans="1:12" x14ac:dyDescent="0.25">
      <c r="B200" s="53" t="s">
        <v>4031</v>
      </c>
      <c r="C200" s="7" t="s">
        <v>4138</v>
      </c>
      <c r="D200" s="7" t="s">
        <v>127</v>
      </c>
      <c r="E200" s="7" t="s">
        <v>4116</v>
      </c>
      <c r="F200" s="7" t="s">
        <v>4144</v>
      </c>
      <c r="G200" s="7" t="s">
        <v>5004</v>
      </c>
      <c r="H200" s="7" t="s">
        <v>4027</v>
      </c>
      <c r="I200" s="7" t="s">
        <v>4028</v>
      </c>
      <c r="J200" s="109">
        <v>6372</v>
      </c>
      <c r="K200" s="34">
        <f t="shared" si="8"/>
        <v>3797.712</v>
      </c>
      <c r="L200" t="s">
        <v>4139</v>
      </c>
    </row>
    <row r="201" spans="1:12" x14ac:dyDescent="0.25">
      <c r="B201" s="53" t="s">
        <v>4032</v>
      </c>
      <c r="C201" s="7" t="s">
        <v>4138</v>
      </c>
      <c r="D201" s="7" t="s">
        <v>128</v>
      </c>
      <c r="E201" s="7" t="s">
        <v>4116</v>
      </c>
      <c r="F201" s="7" t="s">
        <v>4148</v>
      </c>
      <c r="G201" s="7" t="s">
        <v>5004</v>
      </c>
      <c r="H201" s="7" t="s">
        <v>4027</v>
      </c>
      <c r="I201" s="7" t="s">
        <v>4028</v>
      </c>
      <c r="J201" s="109">
        <v>6372</v>
      </c>
      <c r="K201" s="34">
        <f t="shared" si="8"/>
        <v>3797.712</v>
      </c>
      <c r="L201" t="s">
        <v>4139</v>
      </c>
    </row>
    <row r="202" spans="1:12" x14ac:dyDescent="0.25">
      <c r="B202" s="53" t="s">
        <v>4033</v>
      </c>
      <c r="C202" s="7" t="s">
        <v>4138</v>
      </c>
      <c r="D202" s="7" t="s">
        <v>129</v>
      </c>
      <c r="E202" s="7" t="s">
        <v>4116</v>
      </c>
      <c r="F202" s="7" t="s">
        <v>4150</v>
      </c>
      <c r="G202" s="7" t="s">
        <v>5004</v>
      </c>
      <c r="H202" s="7" t="s">
        <v>4027</v>
      </c>
      <c r="I202" s="7" t="s">
        <v>4028</v>
      </c>
      <c r="J202" s="109">
        <v>6372</v>
      </c>
      <c r="K202" s="34">
        <f t="shared" si="8"/>
        <v>3797.712</v>
      </c>
      <c r="L202" t="s">
        <v>4139</v>
      </c>
    </row>
    <row r="203" spans="1:12" x14ac:dyDescent="0.25">
      <c r="B203" s="53" t="s">
        <v>4034</v>
      </c>
      <c r="C203" s="7" t="s">
        <v>4138</v>
      </c>
      <c r="D203" s="7" t="s">
        <v>130</v>
      </c>
      <c r="E203" s="7" t="s">
        <v>4116</v>
      </c>
      <c r="F203" s="7" t="s">
        <v>4149</v>
      </c>
      <c r="G203" s="7" t="s">
        <v>5004</v>
      </c>
      <c r="H203" s="7" t="s">
        <v>4027</v>
      </c>
      <c r="I203" s="7" t="s">
        <v>4028</v>
      </c>
      <c r="J203" s="109">
        <v>6372</v>
      </c>
      <c r="K203" s="34">
        <f t="shared" si="8"/>
        <v>3797.712</v>
      </c>
      <c r="L203" t="s">
        <v>4139</v>
      </c>
    </row>
    <row r="204" spans="1:12" x14ac:dyDescent="0.25">
      <c r="B204" s="53" t="s">
        <v>4035</v>
      </c>
      <c r="C204" s="7" t="s">
        <v>4138</v>
      </c>
      <c r="D204" s="7" t="s">
        <v>142</v>
      </c>
      <c r="E204" s="7" t="s">
        <v>4116</v>
      </c>
      <c r="F204" s="7" t="s">
        <v>4151</v>
      </c>
      <c r="G204" s="7" t="s">
        <v>5003</v>
      </c>
      <c r="H204" s="7" t="s">
        <v>4027</v>
      </c>
      <c r="I204" s="7" t="s">
        <v>4028</v>
      </c>
      <c r="J204" s="109">
        <v>8255</v>
      </c>
      <c r="K204" s="34">
        <f t="shared" si="8"/>
        <v>4919.9799999999996</v>
      </c>
      <c r="L204" t="s">
        <v>4139</v>
      </c>
    </row>
    <row r="205" spans="1:12" x14ac:dyDescent="0.25">
      <c r="B205" s="53" t="s">
        <v>4036</v>
      </c>
      <c r="C205" s="7" t="s">
        <v>4138</v>
      </c>
      <c r="D205" s="7" t="s">
        <v>143</v>
      </c>
      <c r="E205" s="7" t="s">
        <v>4116</v>
      </c>
      <c r="F205" s="7" t="s">
        <v>4152</v>
      </c>
      <c r="G205" s="7" t="s">
        <v>5003</v>
      </c>
      <c r="H205" s="7" t="s">
        <v>4027</v>
      </c>
      <c r="I205" s="7" t="s">
        <v>4028</v>
      </c>
      <c r="J205" s="109">
        <v>8255</v>
      </c>
      <c r="K205" s="34">
        <f t="shared" si="8"/>
        <v>4919.9799999999996</v>
      </c>
      <c r="L205" t="s">
        <v>4139</v>
      </c>
    </row>
    <row r="206" spans="1:12" x14ac:dyDescent="0.25">
      <c r="B206" s="53" t="s">
        <v>4037</v>
      </c>
      <c r="C206" s="7" t="s">
        <v>4138</v>
      </c>
      <c r="D206" s="7" t="s">
        <v>144</v>
      </c>
      <c r="E206" s="7" t="s">
        <v>4116</v>
      </c>
      <c r="F206" s="7" t="s">
        <v>4153</v>
      </c>
      <c r="G206" s="7" t="s">
        <v>5003</v>
      </c>
      <c r="H206" s="7" t="s">
        <v>4027</v>
      </c>
      <c r="I206" s="7" t="s">
        <v>4028</v>
      </c>
      <c r="J206" s="109">
        <v>8255</v>
      </c>
      <c r="K206" s="34">
        <f t="shared" si="8"/>
        <v>4919.9799999999996</v>
      </c>
      <c r="L206" t="s">
        <v>4139</v>
      </c>
    </row>
    <row r="207" spans="1:12" x14ac:dyDescent="0.25">
      <c r="B207" s="53" t="s">
        <v>4038</v>
      </c>
      <c r="C207" s="7" t="s">
        <v>4138</v>
      </c>
      <c r="D207" s="7" t="s">
        <v>145</v>
      </c>
      <c r="E207" s="7" t="s">
        <v>4116</v>
      </c>
      <c r="F207" s="7" t="s">
        <v>4170</v>
      </c>
      <c r="G207" s="7" t="s">
        <v>5003</v>
      </c>
      <c r="H207" s="7" t="s">
        <v>4027</v>
      </c>
      <c r="I207" s="7" t="s">
        <v>4028</v>
      </c>
      <c r="J207" s="109">
        <v>8255</v>
      </c>
      <c r="K207" s="34">
        <f t="shared" si="8"/>
        <v>4919.9799999999996</v>
      </c>
      <c r="L207" t="s">
        <v>4139</v>
      </c>
    </row>
    <row r="208" spans="1:12" x14ac:dyDescent="0.25">
      <c r="B208" s="53" t="s">
        <v>4039</v>
      </c>
      <c r="C208" s="7" t="s">
        <v>4138</v>
      </c>
      <c r="D208" s="7" t="s">
        <v>131</v>
      </c>
      <c r="E208" s="7" t="s">
        <v>4116</v>
      </c>
      <c r="F208" s="7" t="s">
        <v>4157</v>
      </c>
      <c r="G208" s="7" t="s">
        <v>5004</v>
      </c>
      <c r="H208" s="7" t="s">
        <v>4027</v>
      </c>
      <c r="I208" s="7" t="s">
        <v>4028</v>
      </c>
      <c r="J208" s="131">
        <v>6465</v>
      </c>
      <c r="K208" s="34">
        <f t="shared" si="8"/>
        <v>3853.14</v>
      </c>
      <c r="L208" t="s">
        <v>4139</v>
      </c>
    </row>
    <row r="209" spans="2:12" x14ac:dyDescent="0.25">
      <c r="B209" s="53" t="s">
        <v>4040</v>
      </c>
      <c r="C209" s="7" t="s">
        <v>4138</v>
      </c>
      <c r="D209" s="7" t="s">
        <v>132</v>
      </c>
      <c r="E209" s="7" t="s">
        <v>4116</v>
      </c>
      <c r="F209" s="7" t="s">
        <v>4158</v>
      </c>
      <c r="G209" s="7" t="s">
        <v>5004</v>
      </c>
      <c r="H209" s="7" t="s">
        <v>4027</v>
      </c>
      <c r="I209" s="7" t="s">
        <v>4028</v>
      </c>
      <c r="J209" s="131">
        <v>6465</v>
      </c>
      <c r="K209" s="34">
        <f t="shared" si="8"/>
        <v>3853.14</v>
      </c>
      <c r="L209" t="s">
        <v>4139</v>
      </c>
    </row>
    <row r="210" spans="2:12" x14ac:dyDescent="0.25">
      <c r="B210" s="53" t="s">
        <v>4041</v>
      </c>
      <c r="C210" s="7" t="s">
        <v>4138</v>
      </c>
      <c r="D210" s="7" t="s">
        <v>133</v>
      </c>
      <c r="E210" s="7" t="s">
        <v>4116</v>
      </c>
      <c r="F210" s="7" t="s">
        <v>4154</v>
      </c>
      <c r="G210" s="7" t="s">
        <v>5004</v>
      </c>
      <c r="H210" s="7" t="s">
        <v>4027</v>
      </c>
      <c r="I210" s="7" t="s">
        <v>4028</v>
      </c>
      <c r="J210" s="131">
        <v>6465</v>
      </c>
      <c r="K210" s="34">
        <f t="shared" si="8"/>
        <v>3853.14</v>
      </c>
      <c r="L210" t="s">
        <v>4139</v>
      </c>
    </row>
    <row r="211" spans="2:12" x14ac:dyDescent="0.25">
      <c r="B211" s="53" t="s">
        <v>4042</v>
      </c>
      <c r="C211" s="7" t="s">
        <v>4138</v>
      </c>
      <c r="D211" s="7" t="s">
        <v>134</v>
      </c>
      <c r="E211" s="7" t="s">
        <v>4116</v>
      </c>
      <c r="F211" s="7" t="s">
        <v>4145</v>
      </c>
      <c r="G211" s="7" t="s">
        <v>5004</v>
      </c>
      <c r="H211" s="7" t="s">
        <v>4027</v>
      </c>
      <c r="I211" s="7" t="s">
        <v>4028</v>
      </c>
      <c r="J211" s="109">
        <v>6372</v>
      </c>
      <c r="K211" s="34">
        <f t="shared" si="8"/>
        <v>3797.712</v>
      </c>
      <c r="L211" t="s">
        <v>4139</v>
      </c>
    </row>
    <row r="212" spans="2:12" x14ac:dyDescent="0.25">
      <c r="B212" s="53" t="s">
        <v>4043</v>
      </c>
      <c r="C212" s="7" t="s">
        <v>4138</v>
      </c>
      <c r="D212" s="7" t="s">
        <v>135</v>
      </c>
      <c r="E212" s="7" t="s">
        <v>4116</v>
      </c>
      <c r="F212" s="7" t="s">
        <v>4159</v>
      </c>
      <c r="G212" s="7" t="s">
        <v>5004</v>
      </c>
      <c r="H212" s="7" t="s">
        <v>4027</v>
      </c>
      <c r="I212" s="7" t="s">
        <v>4028</v>
      </c>
      <c r="J212" s="109">
        <v>6372</v>
      </c>
      <c r="K212" s="34">
        <f t="shared" si="8"/>
        <v>3797.712</v>
      </c>
      <c r="L212" t="s">
        <v>4139</v>
      </c>
    </row>
    <row r="213" spans="2:12" x14ac:dyDescent="0.25">
      <c r="B213" s="53" t="s">
        <v>4044</v>
      </c>
      <c r="C213" s="7" t="s">
        <v>4138</v>
      </c>
      <c r="D213" s="7" t="s">
        <v>136</v>
      </c>
      <c r="E213" s="7" t="s">
        <v>4116</v>
      </c>
      <c r="F213" s="7" t="s">
        <v>4160</v>
      </c>
      <c r="G213" s="7" t="s">
        <v>5004</v>
      </c>
      <c r="H213" s="7" t="s">
        <v>4027</v>
      </c>
      <c r="I213" s="7" t="s">
        <v>4028</v>
      </c>
      <c r="J213" s="109">
        <v>6372</v>
      </c>
      <c r="K213" s="34">
        <f t="shared" si="8"/>
        <v>3797.712</v>
      </c>
      <c r="L213" t="s">
        <v>4139</v>
      </c>
    </row>
    <row r="214" spans="2:12" x14ac:dyDescent="0.25">
      <c r="B214" s="53" t="s">
        <v>4045</v>
      </c>
      <c r="C214" s="7" t="s">
        <v>4138</v>
      </c>
      <c r="D214" s="7" t="s">
        <v>137</v>
      </c>
      <c r="E214" s="7" t="s">
        <v>4116</v>
      </c>
      <c r="F214" s="7" t="s">
        <v>4161</v>
      </c>
      <c r="G214" s="7" t="s">
        <v>5004</v>
      </c>
      <c r="H214" s="7" t="s">
        <v>4027</v>
      </c>
      <c r="I214" s="7" t="s">
        <v>4028</v>
      </c>
      <c r="J214" s="109">
        <v>6372</v>
      </c>
      <c r="K214" s="34">
        <f t="shared" si="8"/>
        <v>3797.712</v>
      </c>
      <c r="L214" t="s">
        <v>4139</v>
      </c>
    </row>
    <row r="215" spans="2:12" x14ac:dyDescent="0.25">
      <c r="B215" s="53" t="s">
        <v>4046</v>
      </c>
      <c r="C215" s="7" t="s">
        <v>4138</v>
      </c>
      <c r="D215" s="7" t="s">
        <v>146</v>
      </c>
      <c r="E215" s="7" t="s">
        <v>4116</v>
      </c>
      <c r="F215" s="7" t="s">
        <v>4171</v>
      </c>
      <c r="G215" s="7" t="s">
        <v>5003</v>
      </c>
      <c r="H215" s="7" t="s">
        <v>4027</v>
      </c>
      <c r="I215" s="7" t="s">
        <v>4028</v>
      </c>
      <c r="J215" s="109">
        <v>8255</v>
      </c>
      <c r="K215" s="34">
        <f t="shared" si="8"/>
        <v>4919.9799999999996</v>
      </c>
      <c r="L215" t="s">
        <v>4139</v>
      </c>
    </row>
    <row r="216" spans="2:12" x14ac:dyDescent="0.25">
      <c r="B216" s="53" t="s">
        <v>4047</v>
      </c>
      <c r="C216" s="7" t="s">
        <v>4138</v>
      </c>
      <c r="D216" s="7" t="s">
        <v>156</v>
      </c>
      <c r="E216" s="7" t="s">
        <v>4116</v>
      </c>
      <c r="F216" s="7" t="s">
        <v>4172</v>
      </c>
      <c r="G216" s="7" t="s">
        <v>5003</v>
      </c>
      <c r="H216" s="7" t="s">
        <v>4027</v>
      </c>
      <c r="I216" s="7" t="s">
        <v>4028</v>
      </c>
      <c r="J216" s="109">
        <v>8255</v>
      </c>
      <c r="K216" s="34">
        <f t="shared" si="8"/>
        <v>4919.9799999999996</v>
      </c>
      <c r="L216" t="s">
        <v>4139</v>
      </c>
    </row>
    <row r="217" spans="2:12" x14ac:dyDescent="0.25">
      <c r="B217" s="53" t="s">
        <v>4048</v>
      </c>
      <c r="C217" s="7" t="s">
        <v>4138</v>
      </c>
      <c r="D217" s="7" t="s">
        <v>148</v>
      </c>
      <c r="E217" s="7" t="s">
        <v>4116</v>
      </c>
      <c r="F217" s="7" t="s">
        <v>4173</v>
      </c>
      <c r="G217" s="7" t="s">
        <v>5003</v>
      </c>
      <c r="H217" s="7" t="s">
        <v>4027</v>
      </c>
      <c r="I217" s="7" t="s">
        <v>4028</v>
      </c>
      <c r="J217" s="109">
        <v>8255</v>
      </c>
      <c r="K217" s="34">
        <f t="shared" si="8"/>
        <v>4919.9799999999996</v>
      </c>
      <c r="L217" t="s">
        <v>4139</v>
      </c>
    </row>
    <row r="218" spans="2:12" x14ac:dyDescent="0.25">
      <c r="B218" s="53" t="s">
        <v>4049</v>
      </c>
      <c r="C218" s="7" t="s">
        <v>4138</v>
      </c>
      <c r="D218" s="7" t="s">
        <v>149</v>
      </c>
      <c r="E218" s="7" t="s">
        <v>4116</v>
      </c>
      <c r="F218" s="7" t="s">
        <v>4174</v>
      </c>
      <c r="G218" s="7" t="s">
        <v>5003</v>
      </c>
      <c r="H218" s="7" t="s">
        <v>4027</v>
      </c>
      <c r="I218" s="7" t="s">
        <v>4028</v>
      </c>
      <c r="J218" s="109">
        <v>8255</v>
      </c>
      <c r="K218" s="34">
        <f t="shared" si="8"/>
        <v>4919.9799999999996</v>
      </c>
      <c r="L218" t="s">
        <v>4139</v>
      </c>
    </row>
    <row r="219" spans="2:12" x14ac:dyDescent="0.25">
      <c r="B219" s="53" t="s">
        <v>4050</v>
      </c>
      <c r="C219" s="7" t="s">
        <v>4138</v>
      </c>
      <c r="D219" s="7" t="s">
        <v>4118</v>
      </c>
      <c r="E219" s="7" t="s">
        <v>4116</v>
      </c>
      <c r="F219" s="7" t="s">
        <v>4162</v>
      </c>
      <c r="G219" s="7" t="s">
        <v>5004</v>
      </c>
      <c r="H219" s="7" t="s">
        <v>4027</v>
      </c>
      <c r="I219" s="7" t="s">
        <v>4028</v>
      </c>
      <c r="J219" s="131">
        <v>6465</v>
      </c>
      <c r="K219" s="34">
        <f t="shared" si="8"/>
        <v>3853.14</v>
      </c>
      <c r="L219" t="s">
        <v>4139</v>
      </c>
    </row>
    <row r="220" spans="2:12" x14ac:dyDescent="0.25">
      <c r="B220" s="53" t="s">
        <v>4051</v>
      </c>
      <c r="C220" s="7" t="s">
        <v>4138</v>
      </c>
      <c r="D220" s="7" t="s">
        <v>4119</v>
      </c>
      <c r="E220" s="7" t="s">
        <v>4116</v>
      </c>
      <c r="F220" s="7" t="s">
        <v>4163</v>
      </c>
      <c r="G220" s="7" t="s">
        <v>5004</v>
      </c>
      <c r="H220" s="7" t="s">
        <v>4027</v>
      </c>
      <c r="I220" s="7" t="s">
        <v>4028</v>
      </c>
      <c r="J220" s="131">
        <v>6465</v>
      </c>
      <c r="K220" s="34">
        <f t="shared" si="8"/>
        <v>3853.14</v>
      </c>
      <c r="L220" t="s">
        <v>4139</v>
      </c>
    </row>
    <row r="221" spans="2:12" x14ac:dyDescent="0.25">
      <c r="B221" s="53" t="s">
        <v>4052</v>
      </c>
      <c r="C221" s="7" t="s">
        <v>4138</v>
      </c>
      <c r="D221" s="7" t="s">
        <v>4120</v>
      </c>
      <c r="E221" s="7" t="s">
        <v>4116</v>
      </c>
      <c r="F221" s="7" t="s">
        <v>4155</v>
      </c>
      <c r="G221" s="7" t="s">
        <v>5004</v>
      </c>
      <c r="H221" s="7" t="s">
        <v>4027</v>
      </c>
      <c r="I221" s="7" t="s">
        <v>4028</v>
      </c>
      <c r="J221" s="131">
        <v>6465</v>
      </c>
      <c r="K221" s="34">
        <f t="shared" si="8"/>
        <v>3853.14</v>
      </c>
      <c r="L221" t="s">
        <v>4139</v>
      </c>
    </row>
    <row r="222" spans="2:12" x14ac:dyDescent="0.25">
      <c r="B222" s="53" t="s">
        <v>4053</v>
      </c>
      <c r="C222" s="7" t="s">
        <v>4138</v>
      </c>
      <c r="D222" s="7" t="s">
        <v>4121</v>
      </c>
      <c r="E222" s="7" t="s">
        <v>4116</v>
      </c>
      <c r="F222" s="7" t="s">
        <v>4146</v>
      </c>
      <c r="G222" s="7" t="s">
        <v>5004</v>
      </c>
      <c r="H222" s="7" t="s">
        <v>4027</v>
      </c>
      <c r="I222" s="7" t="s">
        <v>4028</v>
      </c>
      <c r="J222" s="109">
        <v>6372</v>
      </c>
      <c r="K222" s="34">
        <f t="shared" si="8"/>
        <v>3797.712</v>
      </c>
      <c r="L222" t="s">
        <v>4139</v>
      </c>
    </row>
    <row r="223" spans="2:12" x14ac:dyDescent="0.25">
      <c r="B223" s="53" t="s">
        <v>4054</v>
      </c>
      <c r="C223" s="7" t="s">
        <v>4138</v>
      </c>
      <c r="D223" s="7" t="s">
        <v>4122</v>
      </c>
      <c r="E223" s="7" t="s">
        <v>4116</v>
      </c>
      <c r="F223" s="7" t="s">
        <v>4164</v>
      </c>
      <c r="G223" s="7" t="s">
        <v>5004</v>
      </c>
      <c r="H223" s="7" t="s">
        <v>4027</v>
      </c>
      <c r="I223" s="7" t="s">
        <v>4028</v>
      </c>
      <c r="J223" s="109">
        <v>6372</v>
      </c>
      <c r="K223" s="34">
        <f t="shared" si="8"/>
        <v>3797.712</v>
      </c>
      <c r="L223" t="s">
        <v>4139</v>
      </c>
    </row>
    <row r="224" spans="2:12" x14ac:dyDescent="0.25">
      <c r="B224" s="53" t="s">
        <v>4055</v>
      </c>
      <c r="C224" s="7" t="s">
        <v>4138</v>
      </c>
      <c r="D224" s="7" t="s">
        <v>4123</v>
      </c>
      <c r="E224" s="7" t="s">
        <v>4116</v>
      </c>
      <c r="F224" s="7" t="s">
        <v>4165</v>
      </c>
      <c r="G224" s="7" t="s">
        <v>5004</v>
      </c>
      <c r="H224" s="7" t="s">
        <v>4027</v>
      </c>
      <c r="I224" s="7" t="s">
        <v>4028</v>
      </c>
      <c r="J224" s="109">
        <v>6372</v>
      </c>
      <c r="K224" s="34">
        <f t="shared" si="8"/>
        <v>3797.712</v>
      </c>
      <c r="L224" t="s">
        <v>4139</v>
      </c>
    </row>
    <row r="225" spans="2:12" x14ac:dyDescent="0.25">
      <c r="B225" s="53" t="s">
        <v>4056</v>
      </c>
      <c r="C225" s="7" t="s">
        <v>4138</v>
      </c>
      <c r="D225" s="7" t="s">
        <v>4124</v>
      </c>
      <c r="E225" s="7" t="s">
        <v>4116</v>
      </c>
      <c r="F225" s="7" t="s">
        <v>4166</v>
      </c>
      <c r="G225" s="7" t="s">
        <v>5004</v>
      </c>
      <c r="H225" s="7" t="s">
        <v>4027</v>
      </c>
      <c r="I225" s="7" t="s">
        <v>4028</v>
      </c>
      <c r="J225" s="109">
        <v>6372</v>
      </c>
      <c r="K225" s="34">
        <f t="shared" si="8"/>
        <v>3797.712</v>
      </c>
      <c r="L225" t="s">
        <v>4139</v>
      </c>
    </row>
    <row r="226" spans="2:12" x14ac:dyDescent="0.25">
      <c r="B226" s="53" t="s">
        <v>4057</v>
      </c>
      <c r="C226" s="7" t="s">
        <v>4138</v>
      </c>
      <c r="D226" s="7" t="s">
        <v>4125</v>
      </c>
      <c r="E226" s="7" t="s">
        <v>4116</v>
      </c>
      <c r="F226" s="7" t="s">
        <v>4175</v>
      </c>
      <c r="G226" s="7" t="s">
        <v>5003</v>
      </c>
      <c r="H226" s="7" t="s">
        <v>4027</v>
      </c>
      <c r="I226" s="7" t="s">
        <v>4028</v>
      </c>
      <c r="J226" s="109">
        <v>8255</v>
      </c>
      <c r="K226" s="34">
        <f t="shared" si="8"/>
        <v>4919.9799999999996</v>
      </c>
      <c r="L226" t="s">
        <v>4139</v>
      </c>
    </row>
    <row r="227" spans="2:12" x14ac:dyDescent="0.25">
      <c r="B227" s="53" t="s">
        <v>4058</v>
      </c>
      <c r="C227" s="7" t="s">
        <v>4138</v>
      </c>
      <c r="D227" s="7" t="s">
        <v>4126</v>
      </c>
      <c r="E227" s="7" t="s">
        <v>4116</v>
      </c>
      <c r="F227" s="7" t="s">
        <v>4176</v>
      </c>
      <c r="G227" s="7" t="s">
        <v>5003</v>
      </c>
      <c r="H227" s="7" t="s">
        <v>4027</v>
      </c>
      <c r="I227" s="7" t="s">
        <v>4028</v>
      </c>
      <c r="J227" s="109">
        <v>8255</v>
      </c>
      <c r="K227" s="34">
        <f t="shared" si="8"/>
        <v>4919.9799999999996</v>
      </c>
      <c r="L227" t="s">
        <v>4139</v>
      </c>
    </row>
    <row r="228" spans="2:12" x14ac:dyDescent="0.25">
      <c r="B228" s="53" t="s">
        <v>4059</v>
      </c>
      <c r="C228" s="7" t="s">
        <v>4138</v>
      </c>
      <c r="D228" s="7" t="s">
        <v>4127</v>
      </c>
      <c r="E228" s="7" t="s">
        <v>4116</v>
      </c>
      <c r="F228" s="7" t="s">
        <v>4177</v>
      </c>
      <c r="G228" s="7" t="s">
        <v>5003</v>
      </c>
      <c r="H228" s="7" t="s">
        <v>4027</v>
      </c>
      <c r="I228" s="7" t="s">
        <v>4028</v>
      </c>
      <c r="J228" s="109">
        <v>8255</v>
      </c>
      <c r="K228" s="34">
        <f t="shared" si="8"/>
        <v>4919.9799999999996</v>
      </c>
      <c r="L228" t="s">
        <v>4139</v>
      </c>
    </row>
    <row r="229" spans="2:12" x14ac:dyDescent="0.25">
      <c r="B229" s="53" t="s">
        <v>4060</v>
      </c>
      <c r="C229" s="7" t="s">
        <v>4138</v>
      </c>
      <c r="D229" s="7" t="s">
        <v>674</v>
      </c>
      <c r="E229" s="7" t="s">
        <v>4116</v>
      </c>
      <c r="F229" s="7" t="s">
        <v>4178</v>
      </c>
      <c r="G229" s="7" t="s">
        <v>5003</v>
      </c>
      <c r="H229" s="7" t="s">
        <v>4027</v>
      </c>
      <c r="I229" s="7" t="s">
        <v>4028</v>
      </c>
      <c r="J229" s="109">
        <v>8255</v>
      </c>
      <c r="K229" s="34">
        <f t="shared" si="8"/>
        <v>4919.9799999999996</v>
      </c>
      <c r="L229" t="s">
        <v>4139</v>
      </c>
    </row>
    <row r="230" spans="2:12" x14ac:dyDescent="0.25">
      <c r="B230" s="53" t="s">
        <v>4061</v>
      </c>
      <c r="C230" s="7" t="s">
        <v>4138</v>
      </c>
      <c r="D230" s="7" t="s">
        <v>4128</v>
      </c>
      <c r="E230" s="7" t="s">
        <v>4116</v>
      </c>
      <c r="F230" s="7" t="s">
        <v>4167</v>
      </c>
      <c r="G230" s="7" t="s">
        <v>5004</v>
      </c>
      <c r="H230" s="7" t="s">
        <v>4027</v>
      </c>
      <c r="I230" s="7" t="s">
        <v>4028</v>
      </c>
      <c r="J230" s="131">
        <v>6465</v>
      </c>
      <c r="K230" s="34">
        <f t="shared" si="8"/>
        <v>3853.14</v>
      </c>
      <c r="L230" t="s">
        <v>4139</v>
      </c>
    </row>
    <row r="231" spans="2:12" x14ac:dyDescent="0.25">
      <c r="B231" s="53" t="s">
        <v>4062</v>
      </c>
      <c r="C231" s="7" t="s">
        <v>4138</v>
      </c>
      <c r="D231" s="7" t="s">
        <v>4129</v>
      </c>
      <c r="E231" s="7" t="s">
        <v>4116</v>
      </c>
      <c r="F231" s="7" t="s">
        <v>4168</v>
      </c>
      <c r="G231" s="7" t="s">
        <v>5004</v>
      </c>
      <c r="H231" s="7" t="s">
        <v>4027</v>
      </c>
      <c r="I231" s="7" t="s">
        <v>4028</v>
      </c>
      <c r="J231" s="131">
        <v>6465</v>
      </c>
      <c r="K231" s="34">
        <f t="shared" si="8"/>
        <v>3853.14</v>
      </c>
      <c r="L231" t="s">
        <v>4139</v>
      </c>
    </row>
    <row r="232" spans="2:12" x14ac:dyDescent="0.25">
      <c r="B232" s="53" t="s">
        <v>4063</v>
      </c>
      <c r="C232" s="7" t="s">
        <v>4138</v>
      </c>
      <c r="D232" s="7" t="s">
        <v>4130</v>
      </c>
      <c r="E232" s="7" t="s">
        <v>4116</v>
      </c>
      <c r="F232" s="7" t="s">
        <v>4156</v>
      </c>
      <c r="G232" s="7" t="s">
        <v>5004</v>
      </c>
      <c r="H232" s="7" t="s">
        <v>4027</v>
      </c>
      <c r="I232" s="7" t="s">
        <v>4028</v>
      </c>
      <c r="J232" s="131">
        <v>6465</v>
      </c>
      <c r="K232" s="34">
        <f t="shared" si="8"/>
        <v>3853.14</v>
      </c>
      <c r="L232" t="s">
        <v>4139</v>
      </c>
    </row>
    <row r="233" spans="2:12" x14ac:dyDescent="0.25">
      <c r="B233" s="53" t="s">
        <v>4064</v>
      </c>
      <c r="C233" s="7" t="s">
        <v>4138</v>
      </c>
      <c r="D233" s="7" t="s">
        <v>4131</v>
      </c>
      <c r="E233" s="7" t="s">
        <v>4116</v>
      </c>
      <c r="F233" s="7" t="s">
        <v>4147</v>
      </c>
      <c r="G233" s="7" t="s">
        <v>5004</v>
      </c>
      <c r="H233" s="7" t="s">
        <v>4027</v>
      </c>
      <c r="I233" s="7" t="s">
        <v>4028</v>
      </c>
      <c r="J233" s="109">
        <v>6372</v>
      </c>
      <c r="K233" s="34">
        <f t="shared" si="8"/>
        <v>3797.712</v>
      </c>
      <c r="L233" t="s">
        <v>4139</v>
      </c>
    </row>
    <row r="234" spans="2:12" x14ac:dyDescent="0.25">
      <c r="B234" s="53" t="s">
        <v>4065</v>
      </c>
      <c r="C234" s="7" t="s">
        <v>4138</v>
      </c>
      <c r="D234" s="7" t="s">
        <v>4132</v>
      </c>
      <c r="E234" s="7" t="s">
        <v>4116</v>
      </c>
      <c r="F234" s="7" t="s">
        <v>4169</v>
      </c>
      <c r="G234" s="7" t="s">
        <v>5004</v>
      </c>
      <c r="H234" s="7" t="s">
        <v>4027</v>
      </c>
      <c r="I234" s="7" t="s">
        <v>4028</v>
      </c>
      <c r="J234" s="109">
        <v>6372</v>
      </c>
      <c r="K234" s="34">
        <f t="shared" si="8"/>
        <v>3797.712</v>
      </c>
      <c r="L234" t="s">
        <v>4139</v>
      </c>
    </row>
    <row r="235" spans="2:12" x14ac:dyDescent="0.25">
      <c r="B235" s="53" t="s">
        <v>4066</v>
      </c>
      <c r="C235" s="7" t="s">
        <v>4138</v>
      </c>
      <c r="D235" s="7" t="s">
        <v>4133</v>
      </c>
      <c r="E235" s="7" t="s">
        <v>4116</v>
      </c>
      <c r="F235" s="7" t="s">
        <v>4179</v>
      </c>
      <c r="G235" s="7" t="s">
        <v>5004</v>
      </c>
      <c r="H235" s="7" t="s">
        <v>4027</v>
      </c>
      <c r="I235" s="7" t="s">
        <v>4028</v>
      </c>
      <c r="J235" s="109">
        <v>6372</v>
      </c>
      <c r="K235" s="34">
        <f t="shared" si="8"/>
        <v>3797.712</v>
      </c>
      <c r="L235" t="s">
        <v>4139</v>
      </c>
    </row>
    <row r="236" spans="2:12" x14ac:dyDescent="0.25">
      <c r="B236" s="53" t="s">
        <v>4067</v>
      </c>
      <c r="C236" s="7" t="s">
        <v>4138</v>
      </c>
      <c r="D236" s="7" t="s">
        <v>4134</v>
      </c>
      <c r="E236" s="7" t="s">
        <v>4116</v>
      </c>
      <c r="F236" s="7" t="s">
        <v>4180</v>
      </c>
      <c r="G236" s="7" t="s">
        <v>5004</v>
      </c>
      <c r="H236" s="7" t="s">
        <v>4027</v>
      </c>
      <c r="I236" s="7" t="s">
        <v>4028</v>
      </c>
      <c r="J236" s="109">
        <v>6372</v>
      </c>
      <c r="K236" s="34">
        <f t="shared" si="8"/>
        <v>3797.712</v>
      </c>
      <c r="L236" t="s">
        <v>4139</v>
      </c>
    </row>
    <row r="237" spans="2:12" x14ac:dyDescent="0.25">
      <c r="B237" s="53" t="s">
        <v>4068</v>
      </c>
      <c r="C237" s="7" t="s">
        <v>4138</v>
      </c>
      <c r="D237" s="7" t="s">
        <v>4135</v>
      </c>
      <c r="E237" s="7" t="s">
        <v>4116</v>
      </c>
      <c r="F237" s="7" t="s">
        <v>4181</v>
      </c>
      <c r="G237" s="7" t="s">
        <v>5003</v>
      </c>
      <c r="H237" s="7" t="s">
        <v>4027</v>
      </c>
      <c r="I237" s="7" t="s">
        <v>4028</v>
      </c>
      <c r="J237" s="109">
        <v>8255</v>
      </c>
      <c r="K237" s="34">
        <f t="shared" si="8"/>
        <v>4919.9799999999996</v>
      </c>
      <c r="L237" t="s">
        <v>4139</v>
      </c>
    </row>
    <row r="238" spans="2:12" x14ac:dyDescent="0.25">
      <c r="B238" s="53" t="s">
        <v>4069</v>
      </c>
      <c r="C238" s="7" t="s">
        <v>4138</v>
      </c>
      <c r="D238" s="7" t="s">
        <v>4136</v>
      </c>
      <c r="E238" s="7" t="s">
        <v>4116</v>
      </c>
      <c r="F238" s="7" t="s">
        <v>4182</v>
      </c>
      <c r="G238" s="7" t="s">
        <v>5003</v>
      </c>
      <c r="H238" s="7" t="s">
        <v>4027</v>
      </c>
      <c r="I238" s="7" t="s">
        <v>4028</v>
      </c>
      <c r="J238" s="109">
        <v>8255</v>
      </c>
      <c r="K238" s="34">
        <f t="shared" si="8"/>
        <v>4919.9799999999996</v>
      </c>
      <c r="L238" t="s">
        <v>4139</v>
      </c>
    </row>
    <row r="239" spans="2:12" x14ac:dyDescent="0.25">
      <c r="B239" s="53" t="s">
        <v>4070</v>
      </c>
      <c r="C239" s="7" t="s">
        <v>4138</v>
      </c>
      <c r="D239" s="7" t="s">
        <v>4137</v>
      </c>
      <c r="E239" s="7" t="s">
        <v>4116</v>
      </c>
      <c r="F239" s="7" t="s">
        <v>4183</v>
      </c>
      <c r="G239" s="7" t="s">
        <v>5003</v>
      </c>
      <c r="H239" s="7" t="s">
        <v>4027</v>
      </c>
      <c r="I239" s="7" t="s">
        <v>4028</v>
      </c>
      <c r="J239" s="109">
        <v>8255</v>
      </c>
      <c r="K239" s="34">
        <f t="shared" si="8"/>
        <v>4919.9799999999996</v>
      </c>
      <c r="L239" t="s">
        <v>4139</v>
      </c>
    </row>
    <row r="240" spans="2:12" x14ac:dyDescent="0.25">
      <c r="B240" s="53" t="s">
        <v>4071</v>
      </c>
      <c r="C240" s="7" t="s">
        <v>4138</v>
      </c>
      <c r="D240" s="7" t="s">
        <v>687</v>
      </c>
      <c r="E240" s="7" t="s">
        <v>4116</v>
      </c>
      <c r="F240" s="7" t="s">
        <v>4184</v>
      </c>
      <c r="G240" s="7" t="s">
        <v>5003</v>
      </c>
      <c r="H240" s="7" t="s">
        <v>4027</v>
      </c>
      <c r="I240" s="7" t="s">
        <v>4028</v>
      </c>
      <c r="J240" s="109">
        <v>8255</v>
      </c>
      <c r="K240" s="34">
        <f t="shared" si="8"/>
        <v>4919.9799999999996</v>
      </c>
      <c r="L240" t="s">
        <v>4139</v>
      </c>
    </row>
    <row r="241" spans="2:12" x14ac:dyDescent="0.25">
      <c r="B241" s="53" t="s">
        <v>4072</v>
      </c>
      <c r="C241" s="7" t="s">
        <v>4117</v>
      </c>
      <c r="D241" s="7" t="s">
        <v>124</v>
      </c>
      <c r="E241" s="7" t="s">
        <v>4116</v>
      </c>
      <c r="F241" s="7" t="s">
        <v>4143</v>
      </c>
      <c r="G241" s="7" t="s">
        <v>5004</v>
      </c>
      <c r="H241" s="7" t="s">
        <v>4027</v>
      </c>
      <c r="I241" s="7" t="s">
        <v>4028</v>
      </c>
      <c r="J241" s="131">
        <v>6465</v>
      </c>
      <c r="K241" s="34">
        <f t="shared" si="8"/>
        <v>3853.14</v>
      </c>
      <c r="L241" t="s">
        <v>4139</v>
      </c>
    </row>
    <row r="242" spans="2:12" x14ac:dyDescent="0.25">
      <c r="B242" s="53" t="s">
        <v>4073</v>
      </c>
      <c r="C242" s="7" t="s">
        <v>4117</v>
      </c>
      <c r="D242" s="7" t="s">
        <v>125</v>
      </c>
      <c r="E242" s="7" t="s">
        <v>4116</v>
      </c>
      <c r="F242" s="7" t="s">
        <v>4142</v>
      </c>
      <c r="G242" s="7" t="s">
        <v>5004</v>
      </c>
      <c r="H242" s="7" t="s">
        <v>4027</v>
      </c>
      <c r="I242" s="7" t="s">
        <v>4028</v>
      </c>
      <c r="J242" s="131">
        <v>6465</v>
      </c>
      <c r="K242" s="34">
        <f t="shared" si="8"/>
        <v>3853.14</v>
      </c>
      <c r="L242" t="s">
        <v>4139</v>
      </c>
    </row>
    <row r="243" spans="2:12" x14ac:dyDescent="0.25">
      <c r="B243" s="53" t="s">
        <v>4074</v>
      </c>
      <c r="C243" s="7" t="s">
        <v>4117</v>
      </c>
      <c r="D243" s="7" t="s">
        <v>126</v>
      </c>
      <c r="E243" s="7" t="s">
        <v>4116</v>
      </c>
      <c r="F243" s="7" t="s">
        <v>4141</v>
      </c>
      <c r="G243" s="7" t="s">
        <v>5004</v>
      </c>
      <c r="H243" s="7" t="s">
        <v>4027</v>
      </c>
      <c r="I243" s="7" t="s">
        <v>4028</v>
      </c>
      <c r="J243" s="131">
        <v>6465</v>
      </c>
      <c r="K243" s="34">
        <f t="shared" si="8"/>
        <v>3853.14</v>
      </c>
      <c r="L243" t="s">
        <v>4139</v>
      </c>
    </row>
    <row r="244" spans="2:12" x14ac:dyDescent="0.25">
      <c r="B244" s="53" t="s">
        <v>4075</v>
      </c>
      <c r="C244" s="7" t="s">
        <v>4117</v>
      </c>
      <c r="D244" s="7" t="s">
        <v>127</v>
      </c>
      <c r="E244" s="7" t="s">
        <v>4116</v>
      </c>
      <c r="F244" s="7" t="s">
        <v>4144</v>
      </c>
      <c r="G244" s="7" t="s">
        <v>5004</v>
      </c>
      <c r="H244" s="7" t="s">
        <v>4027</v>
      </c>
      <c r="I244" s="7" t="s">
        <v>4028</v>
      </c>
      <c r="J244" s="109">
        <v>6372</v>
      </c>
      <c r="K244" s="34">
        <f t="shared" si="8"/>
        <v>3797.712</v>
      </c>
      <c r="L244" t="s">
        <v>4139</v>
      </c>
    </row>
    <row r="245" spans="2:12" x14ac:dyDescent="0.25">
      <c r="B245" s="53" t="s">
        <v>4076</v>
      </c>
      <c r="C245" s="7" t="s">
        <v>4117</v>
      </c>
      <c r="D245" s="7" t="s">
        <v>128</v>
      </c>
      <c r="E245" s="7" t="s">
        <v>4116</v>
      </c>
      <c r="F245" s="7" t="s">
        <v>4148</v>
      </c>
      <c r="G245" s="7" t="s">
        <v>5004</v>
      </c>
      <c r="H245" s="7" t="s">
        <v>4027</v>
      </c>
      <c r="I245" s="7" t="s">
        <v>4028</v>
      </c>
      <c r="J245" s="109">
        <v>6372</v>
      </c>
      <c r="K245" s="34">
        <f t="shared" si="8"/>
        <v>3797.712</v>
      </c>
      <c r="L245" t="s">
        <v>4139</v>
      </c>
    </row>
    <row r="246" spans="2:12" x14ac:dyDescent="0.25">
      <c r="B246" s="53" t="s">
        <v>4077</v>
      </c>
      <c r="C246" s="7" t="s">
        <v>4117</v>
      </c>
      <c r="D246" s="7" t="s">
        <v>129</v>
      </c>
      <c r="E246" s="7" t="s">
        <v>4116</v>
      </c>
      <c r="F246" s="7" t="s">
        <v>4150</v>
      </c>
      <c r="G246" s="7" t="s">
        <v>5004</v>
      </c>
      <c r="H246" s="7" t="s">
        <v>4027</v>
      </c>
      <c r="I246" s="7" t="s">
        <v>4028</v>
      </c>
      <c r="J246" s="109">
        <v>6372</v>
      </c>
      <c r="K246" s="34">
        <f t="shared" si="8"/>
        <v>3797.712</v>
      </c>
      <c r="L246" t="s">
        <v>4139</v>
      </c>
    </row>
    <row r="247" spans="2:12" x14ac:dyDescent="0.25">
      <c r="B247" s="53" t="s">
        <v>4078</v>
      </c>
      <c r="C247" s="7" t="s">
        <v>4117</v>
      </c>
      <c r="D247" s="7" t="s">
        <v>130</v>
      </c>
      <c r="E247" s="7" t="s">
        <v>4116</v>
      </c>
      <c r="F247" s="7" t="s">
        <v>4149</v>
      </c>
      <c r="G247" s="7" t="s">
        <v>5004</v>
      </c>
      <c r="H247" s="7" t="s">
        <v>4027</v>
      </c>
      <c r="I247" s="7" t="s">
        <v>4028</v>
      </c>
      <c r="J247" s="109">
        <v>6372</v>
      </c>
      <c r="K247" s="34">
        <f t="shared" si="8"/>
        <v>3797.712</v>
      </c>
      <c r="L247" t="s">
        <v>4139</v>
      </c>
    </row>
    <row r="248" spans="2:12" x14ac:dyDescent="0.25">
      <c r="B248" s="53" t="s">
        <v>4079</v>
      </c>
      <c r="C248" s="7" t="s">
        <v>4117</v>
      </c>
      <c r="D248" s="7" t="s">
        <v>142</v>
      </c>
      <c r="E248" s="7" t="s">
        <v>4116</v>
      </c>
      <c r="F248" s="7" t="s">
        <v>4151</v>
      </c>
      <c r="G248" s="7" t="s">
        <v>5003</v>
      </c>
      <c r="H248" s="7" t="s">
        <v>4027</v>
      </c>
      <c r="I248" s="7" t="s">
        <v>4028</v>
      </c>
      <c r="J248" s="109">
        <v>8255</v>
      </c>
      <c r="K248" s="34">
        <f t="shared" si="8"/>
        <v>4919.9799999999996</v>
      </c>
      <c r="L248" t="s">
        <v>4139</v>
      </c>
    </row>
    <row r="249" spans="2:12" x14ac:dyDescent="0.25">
      <c r="B249" s="53" t="s">
        <v>4080</v>
      </c>
      <c r="C249" s="7" t="s">
        <v>4117</v>
      </c>
      <c r="D249" s="7" t="s">
        <v>143</v>
      </c>
      <c r="E249" s="7" t="s">
        <v>4116</v>
      </c>
      <c r="F249" s="7" t="s">
        <v>4152</v>
      </c>
      <c r="G249" s="7" t="s">
        <v>5003</v>
      </c>
      <c r="H249" s="7" t="s">
        <v>4027</v>
      </c>
      <c r="I249" s="7" t="s">
        <v>4028</v>
      </c>
      <c r="J249" s="109">
        <v>8255</v>
      </c>
      <c r="K249" s="34">
        <f t="shared" si="8"/>
        <v>4919.9799999999996</v>
      </c>
      <c r="L249" t="s">
        <v>4139</v>
      </c>
    </row>
    <row r="250" spans="2:12" x14ac:dyDescent="0.25">
      <c r="B250" s="53" t="s">
        <v>4081</v>
      </c>
      <c r="C250" s="7" t="s">
        <v>4117</v>
      </c>
      <c r="D250" s="7" t="s">
        <v>144</v>
      </c>
      <c r="E250" s="7" t="s">
        <v>4116</v>
      </c>
      <c r="F250" s="7" t="s">
        <v>4153</v>
      </c>
      <c r="G250" s="7" t="s">
        <v>5003</v>
      </c>
      <c r="H250" s="7" t="s">
        <v>4027</v>
      </c>
      <c r="I250" s="7" t="s">
        <v>4028</v>
      </c>
      <c r="J250" s="109">
        <v>8255</v>
      </c>
      <c r="K250" s="34">
        <f t="shared" si="8"/>
        <v>4919.9799999999996</v>
      </c>
      <c r="L250" t="s">
        <v>4139</v>
      </c>
    </row>
    <row r="251" spans="2:12" x14ac:dyDescent="0.25">
      <c r="B251" s="53" t="s">
        <v>4082</v>
      </c>
      <c r="C251" s="7" t="s">
        <v>4117</v>
      </c>
      <c r="D251" s="7" t="s">
        <v>145</v>
      </c>
      <c r="E251" s="7" t="s">
        <v>4116</v>
      </c>
      <c r="F251" s="7" t="s">
        <v>4170</v>
      </c>
      <c r="G251" s="7" t="s">
        <v>5003</v>
      </c>
      <c r="H251" s="7" t="s">
        <v>4027</v>
      </c>
      <c r="I251" s="7" t="s">
        <v>4028</v>
      </c>
      <c r="J251" s="109">
        <v>8255</v>
      </c>
      <c r="K251" s="34">
        <f t="shared" si="8"/>
        <v>4919.9799999999996</v>
      </c>
      <c r="L251" t="s">
        <v>4139</v>
      </c>
    </row>
    <row r="252" spans="2:12" x14ac:dyDescent="0.25">
      <c r="B252" s="53" t="s">
        <v>4083</v>
      </c>
      <c r="C252" s="7" t="s">
        <v>4117</v>
      </c>
      <c r="D252" s="7" t="s">
        <v>131</v>
      </c>
      <c r="E252" s="7" t="s">
        <v>4116</v>
      </c>
      <c r="F252" s="7" t="s">
        <v>4157</v>
      </c>
      <c r="G252" s="7" t="s">
        <v>5004</v>
      </c>
      <c r="H252" s="7" t="s">
        <v>4027</v>
      </c>
      <c r="I252" s="7" t="s">
        <v>4028</v>
      </c>
      <c r="J252" s="131">
        <v>6465</v>
      </c>
      <c r="K252" s="34">
        <f t="shared" si="8"/>
        <v>3853.14</v>
      </c>
      <c r="L252" t="s">
        <v>4139</v>
      </c>
    </row>
    <row r="253" spans="2:12" x14ac:dyDescent="0.25">
      <c r="B253" s="53" t="s">
        <v>4084</v>
      </c>
      <c r="C253" s="7" t="s">
        <v>4117</v>
      </c>
      <c r="D253" s="7" t="s">
        <v>132</v>
      </c>
      <c r="E253" s="7" t="s">
        <v>4116</v>
      </c>
      <c r="F253" s="7" t="s">
        <v>4158</v>
      </c>
      <c r="G253" s="7" t="s">
        <v>5004</v>
      </c>
      <c r="H253" s="7" t="s">
        <v>4027</v>
      </c>
      <c r="I253" s="7" t="s">
        <v>4028</v>
      </c>
      <c r="J253" s="131">
        <v>6465</v>
      </c>
      <c r="K253" s="34">
        <f t="shared" si="8"/>
        <v>3853.14</v>
      </c>
      <c r="L253" t="s">
        <v>4139</v>
      </c>
    </row>
    <row r="254" spans="2:12" x14ac:dyDescent="0.25">
      <c r="B254" s="53" t="s">
        <v>4085</v>
      </c>
      <c r="C254" s="7" t="s">
        <v>4117</v>
      </c>
      <c r="D254" s="7" t="s">
        <v>133</v>
      </c>
      <c r="E254" s="7" t="s">
        <v>4116</v>
      </c>
      <c r="F254" s="7" t="s">
        <v>4154</v>
      </c>
      <c r="G254" s="7" t="s">
        <v>5004</v>
      </c>
      <c r="H254" s="7" t="s">
        <v>4027</v>
      </c>
      <c r="I254" s="7" t="s">
        <v>4028</v>
      </c>
      <c r="J254" s="131">
        <v>6465</v>
      </c>
      <c r="K254" s="34">
        <f t="shared" si="8"/>
        <v>3853.14</v>
      </c>
      <c r="L254" t="s">
        <v>4139</v>
      </c>
    </row>
    <row r="255" spans="2:12" x14ac:dyDescent="0.25">
      <c r="B255" s="53" t="s">
        <v>4086</v>
      </c>
      <c r="C255" s="7" t="s">
        <v>4117</v>
      </c>
      <c r="D255" s="7" t="s">
        <v>134</v>
      </c>
      <c r="E255" s="7" t="s">
        <v>4116</v>
      </c>
      <c r="F255" s="7" t="s">
        <v>4145</v>
      </c>
      <c r="G255" s="7" t="s">
        <v>5004</v>
      </c>
      <c r="H255" s="7" t="s">
        <v>4027</v>
      </c>
      <c r="I255" s="7" t="s">
        <v>4028</v>
      </c>
      <c r="J255" s="109">
        <v>6372</v>
      </c>
      <c r="K255" s="34">
        <f t="shared" ref="K255:K318" si="9">J255*0.596</f>
        <v>3797.712</v>
      </c>
      <c r="L255" t="s">
        <v>4139</v>
      </c>
    </row>
    <row r="256" spans="2:12" x14ac:dyDescent="0.25">
      <c r="B256" s="53" t="s">
        <v>4087</v>
      </c>
      <c r="C256" s="7" t="s">
        <v>4117</v>
      </c>
      <c r="D256" s="7" t="s">
        <v>135</v>
      </c>
      <c r="E256" s="7" t="s">
        <v>4116</v>
      </c>
      <c r="F256" s="7" t="s">
        <v>4159</v>
      </c>
      <c r="G256" s="7" t="s">
        <v>5004</v>
      </c>
      <c r="H256" s="7" t="s">
        <v>4027</v>
      </c>
      <c r="I256" s="7" t="s">
        <v>4028</v>
      </c>
      <c r="J256" s="109">
        <v>6372</v>
      </c>
      <c r="K256" s="34">
        <f t="shared" si="9"/>
        <v>3797.712</v>
      </c>
      <c r="L256" t="s">
        <v>4139</v>
      </c>
    </row>
    <row r="257" spans="2:12" x14ac:dyDescent="0.25">
      <c r="B257" s="53" t="s">
        <v>4088</v>
      </c>
      <c r="C257" s="7" t="s">
        <v>4117</v>
      </c>
      <c r="D257" s="7" t="s">
        <v>136</v>
      </c>
      <c r="E257" s="7" t="s">
        <v>4116</v>
      </c>
      <c r="F257" s="7" t="s">
        <v>4160</v>
      </c>
      <c r="G257" s="7" t="s">
        <v>5004</v>
      </c>
      <c r="H257" s="7" t="s">
        <v>4027</v>
      </c>
      <c r="I257" s="7" t="s">
        <v>4028</v>
      </c>
      <c r="J257" s="109">
        <v>6372</v>
      </c>
      <c r="K257" s="34">
        <f t="shared" si="9"/>
        <v>3797.712</v>
      </c>
      <c r="L257" t="s">
        <v>4139</v>
      </c>
    </row>
    <row r="258" spans="2:12" x14ac:dyDescent="0.25">
      <c r="B258" s="53" t="s">
        <v>4089</v>
      </c>
      <c r="C258" s="7" t="s">
        <v>4117</v>
      </c>
      <c r="D258" s="7" t="s">
        <v>137</v>
      </c>
      <c r="E258" s="7" t="s">
        <v>4116</v>
      </c>
      <c r="F258" s="7" t="s">
        <v>4161</v>
      </c>
      <c r="G258" s="7" t="s">
        <v>5004</v>
      </c>
      <c r="H258" s="7" t="s">
        <v>4027</v>
      </c>
      <c r="I258" s="7" t="s">
        <v>4028</v>
      </c>
      <c r="J258" s="109">
        <v>6372</v>
      </c>
      <c r="K258" s="34">
        <f t="shared" si="9"/>
        <v>3797.712</v>
      </c>
      <c r="L258" t="s">
        <v>4139</v>
      </c>
    </row>
    <row r="259" spans="2:12" x14ac:dyDescent="0.25">
      <c r="B259" s="53" t="s">
        <v>4090</v>
      </c>
      <c r="C259" s="7" t="s">
        <v>4117</v>
      </c>
      <c r="D259" s="7" t="s">
        <v>146</v>
      </c>
      <c r="E259" s="7" t="s">
        <v>4116</v>
      </c>
      <c r="F259" s="7" t="s">
        <v>4171</v>
      </c>
      <c r="G259" s="7" t="s">
        <v>5003</v>
      </c>
      <c r="H259" s="7" t="s">
        <v>4027</v>
      </c>
      <c r="I259" s="7" t="s">
        <v>4028</v>
      </c>
      <c r="J259" s="109">
        <v>8255</v>
      </c>
      <c r="K259" s="34">
        <f t="shared" si="9"/>
        <v>4919.9799999999996</v>
      </c>
      <c r="L259" t="s">
        <v>4139</v>
      </c>
    </row>
    <row r="260" spans="2:12" x14ac:dyDescent="0.25">
      <c r="B260" s="53" t="s">
        <v>4091</v>
      </c>
      <c r="C260" s="7" t="s">
        <v>4117</v>
      </c>
      <c r="D260" s="7" t="s">
        <v>156</v>
      </c>
      <c r="E260" s="7" t="s">
        <v>4116</v>
      </c>
      <c r="F260" s="7" t="s">
        <v>4172</v>
      </c>
      <c r="G260" s="7" t="s">
        <v>5003</v>
      </c>
      <c r="H260" s="7" t="s">
        <v>4027</v>
      </c>
      <c r="I260" s="7" t="s">
        <v>4028</v>
      </c>
      <c r="J260" s="109">
        <v>8255</v>
      </c>
      <c r="K260" s="34">
        <f t="shared" si="9"/>
        <v>4919.9799999999996</v>
      </c>
      <c r="L260" t="s">
        <v>4139</v>
      </c>
    </row>
    <row r="261" spans="2:12" x14ac:dyDescent="0.25">
      <c r="B261" s="53" t="s">
        <v>4092</v>
      </c>
      <c r="C261" s="7" t="s">
        <v>4117</v>
      </c>
      <c r="D261" s="7" t="s">
        <v>148</v>
      </c>
      <c r="E261" s="7" t="s">
        <v>4116</v>
      </c>
      <c r="F261" s="7" t="s">
        <v>4173</v>
      </c>
      <c r="G261" s="7" t="s">
        <v>5003</v>
      </c>
      <c r="H261" s="7" t="s">
        <v>4027</v>
      </c>
      <c r="I261" s="7" t="s">
        <v>4028</v>
      </c>
      <c r="J261" s="109">
        <v>8255</v>
      </c>
      <c r="K261" s="34">
        <f t="shared" si="9"/>
        <v>4919.9799999999996</v>
      </c>
      <c r="L261" t="s">
        <v>4139</v>
      </c>
    </row>
    <row r="262" spans="2:12" x14ac:dyDescent="0.25">
      <c r="B262" s="53" t="s">
        <v>4093</v>
      </c>
      <c r="C262" s="7" t="s">
        <v>4117</v>
      </c>
      <c r="D262" s="7" t="s">
        <v>149</v>
      </c>
      <c r="E262" s="7" t="s">
        <v>4116</v>
      </c>
      <c r="F262" s="7" t="s">
        <v>4174</v>
      </c>
      <c r="G262" s="7" t="s">
        <v>5003</v>
      </c>
      <c r="H262" s="7" t="s">
        <v>4027</v>
      </c>
      <c r="I262" s="7" t="s">
        <v>4028</v>
      </c>
      <c r="J262" s="109">
        <v>8255</v>
      </c>
      <c r="K262" s="34">
        <f t="shared" si="9"/>
        <v>4919.9799999999996</v>
      </c>
      <c r="L262" t="s">
        <v>4139</v>
      </c>
    </row>
    <row r="263" spans="2:12" x14ac:dyDescent="0.25">
      <c r="B263" s="53" t="s">
        <v>4094</v>
      </c>
      <c r="C263" s="7" t="s">
        <v>4117</v>
      </c>
      <c r="D263" s="7" t="s">
        <v>4118</v>
      </c>
      <c r="E263" s="7" t="s">
        <v>4116</v>
      </c>
      <c r="F263" s="7" t="s">
        <v>4162</v>
      </c>
      <c r="G263" s="7" t="s">
        <v>5004</v>
      </c>
      <c r="H263" s="7" t="s">
        <v>4027</v>
      </c>
      <c r="I263" s="7" t="s">
        <v>4028</v>
      </c>
      <c r="J263" s="131">
        <v>6465</v>
      </c>
      <c r="K263" s="34">
        <f t="shared" si="9"/>
        <v>3853.14</v>
      </c>
      <c r="L263" t="s">
        <v>4139</v>
      </c>
    </row>
    <row r="264" spans="2:12" x14ac:dyDescent="0.25">
      <c r="B264" s="53" t="s">
        <v>4095</v>
      </c>
      <c r="C264" s="7" t="s">
        <v>4117</v>
      </c>
      <c r="D264" s="7" t="s">
        <v>4119</v>
      </c>
      <c r="E264" s="7" t="s">
        <v>4116</v>
      </c>
      <c r="F264" s="7" t="s">
        <v>4163</v>
      </c>
      <c r="G264" s="7" t="s">
        <v>5004</v>
      </c>
      <c r="H264" s="7" t="s">
        <v>4027</v>
      </c>
      <c r="I264" s="7" t="s">
        <v>4028</v>
      </c>
      <c r="J264" s="131">
        <v>6465</v>
      </c>
      <c r="K264" s="34">
        <f t="shared" si="9"/>
        <v>3853.14</v>
      </c>
      <c r="L264" t="s">
        <v>4139</v>
      </c>
    </row>
    <row r="265" spans="2:12" x14ac:dyDescent="0.25">
      <c r="B265" s="53" t="s">
        <v>4096</v>
      </c>
      <c r="C265" s="7" t="s">
        <v>4117</v>
      </c>
      <c r="D265" s="7" t="s">
        <v>4120</v>
      </c>
      <c r="E265" s="7" t="s">
        <v>4116</v>
      </c>
      <c r="F265" s="7" t="s">
        <v>4155</v>
      </c>
      <c r="G265" s="7" t="s">
        <v>5004</v>
      </c>
      <c r="H265" s="7" t="s">
        <v>4027</v>
      </c>
      <c r="I265" s="7" t="s">
        <v>4028</v>
      </c>
      <c r="J265" s="131">
        <v>6465</v>
      </c>
      <c r="K265" s="34">
        <f t="shared" si="9"/>
        <v>3853.14</v>
      </c>
      <c r="L265" t="s">
        <v>4139</v>
      </c>
    </row>
    <row r="266" spans="2:12" x14ac:dyDescent="0.25">
      <c r="B266" s="53" t="s">
        <v>4097</v>
      </c>
      <c r="C266" s="7" t="s">
        <v>4117</v>
      </c>
      <c r="D266" s="7" t="s">
        <v>4121</v>
      </c>
      <c r="E266" s="7" t="s">
        <v>4116</v>
      </c>
      <c r="F266" s="7" t="s">
        <v>4146</v>
      </c>
      <c r="G266" s="7" t="s">
        <v>5004</v>
      </c>
      <c r="H266" s="7" t="s">
        <v>4027</v>
      </c>
      <c r="I266" s="7" t="s">
        <v>4028</v>
      </c>
      <c r="J266" s="109">
        <v>6372</v>
      </c>
      <c r="K266" s="34">
        <f t="shared" si="9"/>
        <v>3797.712</v>
      </c>
      <c r="L266" t="s">
        <v>4139</v>
      </c>
    </row>
    <row r="267" spans="2:12" x14ac:dyDescent="0.25">
      <c r="B267" s="53" t="s">
        <v>4098</v>
      </c>
      <c r="C267" s="7" t="s">
        <v>4117</v>
      </c>
      <c r="D267" s="7" t="s">
        <v>4122</v>
      </c>
      <c r="E267" s="7" t="s">
        <v>4116</v>
      </c>
      <c r="F267" s="7" t="s">
        <v>4164</v>
      </c>
      <c r="G267" s="7" t="s">
        <v>5004</v>
      </c>
      <c r="H267" s="7" t="s">
        <v>4027</v>
      </c>
      <c r="I267" s="7" t="s">
        <v>4028</v>
      </c>
      <c r="J267" s="109">
        <v>6372</v>
      </c>
      <c r="K267" s="34">
        <f t="shared" si="9"/>
        <v>3797.712</v>
      </c>
      <c r="L267" t="s">
        <v>4139</v>
      </c>
    </row>
    <row r="268" spans="2:12" x14ac:dyDescent="0.25">
      <c r="B268" s="53" t="s">
        <v>4099</v>
      </c>
      <c r="C268" s="7" t="s">
        <v>4117</v>
      </c>
      <c r="D268" s="7" t="s">
        <v>4123</v>
      </c>
      <c r="E268" s="7" t="s">
        <v>4116</v>
      </c>
      <c r="F268" s="7" t="s">
        <v>4165</v>
      </c>
      <c r="G268" s="7" t="s">
        <v>5004</v>
      </c>
      <c r="H268" s="7" t="s">
        <v>4027</v>
      </c>
      <c r="I268" s="7" t="s">
        <v>4028</v>
      </c>
      <c r="J268" s="109">
        <v>6372</v>
      </c>
      <c r="K268" s="34">
        <f t="shared" si="9"/>
        <v>3797.712</v>
      </c>
      <c r="L268" t="s">
        <v>4139</v>
      </c>
    </row>
    <row r="269" spans="2:12" x14ac:dyDescent="0.25">
      <c r="B269" s="53" t="s">
        <v>4100</v>
      </c>
      <c r="C269" s="7" t="s">
        <v>4117</v>
      </c>
      <c r="D269" s="7" t="s">
        <v>4124</v>
      </c>
      <c r="E269" s="7" t="s">
        <v>4116</v>
      </c>
      <c r="F269" s="7" t="s">
        <v>4166</v>
      </c>
      <c r="G269" s="7" t="s">
        <v>5004</v>
      </c>
      <c r="H269" s="7" t="s">
        <v>4027</v>
      </c>
      <c r="I269" s="7" t="s">
        <v>4028</v>
      </c>
      <c r="J269" s="109">
        <v>6372</v>
      </c>
      <c r="K269" s="34">
        <f t="shared" si="9"/>
        <v>3797.712</v>
      </c>
      <c r="L269" t="s">
        <v>4139</v>
      </c>
    </row>
    <row r="270" spans="2:12" x14ac:dyDescent="0.25">
      <c r="B270" s="53" t="s">
        <v>4101</v>
      </c>
      <c r="C270" s="7" t="s">
        <v>4117</v>
      </c>
      <c r="D270" s="7" t="s">
        <v>4125</v>
      </c>
      <c r="E270" s="7" t="s">
        <v>4116</v>
      </c>
      <c r="F270" s="7" t="s">
        <v>4175</v>
      </c>
      <c r="G270" s="7" t="s">
        <v>5003</v>
      </c>
      <c r="H270" s="7" t="s">
        <v>4027</v>
      </c>
      <c r="I270" s="7" t="s">
        <v>4028</v>
      </c>
      <c r="J270" s="109">
        <v>8255</v>
      </c>
      <c r="K270" s="34">
        <f t="shared" si="9"/>
        <v>4919.9799999999996</v>
      </c>
      <c r="L270" t="s">
        <v>4139</v>
      </c>
    </row>
    <row r="271" spans="2:12" x14ac:dyDescent="0.25">
      <c r="B271" s="53" t="s">
        <v>4102</v>
      </c>
      <c r="C271" s="7" t="s">
        <v>4117</v>
      </c>
      <c r="D271" s="7" t="s">
        <v>4126</v>
      </c>
      <c r="E271" s="7" t="s">
        <v>4116</v>
      </c>
      <c r="F271" s="7" t="s">
        <v>4176</v>
      </c>
      <c r="G271" s="7" t="s">
        <v>5003</v>
      </c>
      <c r="H271" s="7" t="s">
        <v>4027</v>
      </c>
      <c r="I271" s="7" t="s">
        <v>4028</v>
      </c>
      <c r="J271" s="109">
        <v>8255</v>
      </c>
      <c r="K271" s="34">
        <f t="shared" si="9"/>
        <v>4919.9799999999996</v>
      </c>
      <c r="L271" t="s">
        <v>4139</v>
      </c>
    </row>
    <row r="272" spans="2:12" x14ac:dyDescent="0.25">
      <c r="B272" s="53" t="s">
        <v>4103</v>
      </c>
      <c r="C272" s="7" t="s">
        <v>4117</v>
      </c>
      <c r="D272" s="7" t="s">
        <v>4127</v>
      </c>
      <c r="E272" s="7" t="s">
        <v>4116</v>
      </c>
      <c r="F272" s="7" t="s">
        <v>4177</v>
      </c>
      <c r="G272" s="7" t="s">
        <v>5003</v>
      </c>
      <c r="H272" s="7" t="s">
        <v>4027</v>
      </c>
      <c r="I272" s="7" t="s">
        <v>4028</v>
      </c>
      <c r="J272" s="109">
        <v>8255</v>
      </c>
      <c r="K272" s="34">
        <f t="shared" si="9"/>
        <v>4919.9799999999996</v>
      </c>
      <c r="L272" t="s">
        <v>4139</v>
      </c>
    </row>
    <row r="273" spans="1:12" x14ac:dyDescent="0.25">
      <c r="B273" s="53" t="s">
        <v>4104</v>
      </c>
      <c r="C273" s="7" t="s">
        <v>4117</v>
      </c>
      <c r="D273" s="7" t="s">
        <v>674</v>
      </c>
      <c r="E273" s="7" t="s">
        <v>4116</v>
      </c>
      <c r="F273" s="7" t="s">
        <v>4178</v>
      </c>
      <c r="G273" s="7" t="s">
        <v>5003</v>
      </c>
      <c r="H273" s="7" t="s">
        <v>4027</v>
      </c>
      <c r="I273" s="7" t="s">
        <v>4028</v>
      </c>
      <c r="J273" s="109">
        <v>8255</v>
      </c>
      <c r="K273" s="34">
        <f t="shared" si="9"/>
        <v>4919.9799999999996</v>
      </c>
      <c r="L273" t="s">
        <v>4139</v>
      </c>
    </row>
    <row r="274" spans="1:12" x14ac:dyDescent="0.25">
      <c r="B274" s="53" t="s">
        <v>4105</v>
      </c>
      <c r="C274" s="7" t="s">
        <v>4117</v>
      </c>
      <c r="D274" s="7" t="s">
        <v>4128</v>
      </c>
      <c r="E274" s="7" t="s">
        <v>4116</v>
      </c>
      <c r="F274" s="7" t="s">
        <v>4167</v>
      </c>
      <c r="G274" s="7" t="s">
        <v>5004</v>
      </c>
      <c r="H274" s="7" t="s">
        <v>4027</v>
      </c>
      <c r="I274" s="7" t="s">
        <v>4028</v>
      </c>
      <c r="J274" s="131">
        <v>6465</v>
      </c>
      <c r="K274" s="34">
        <f t="shared" si="9"/>
        <v>3853.14</v>
      </c>
      <c r="L274" t="s">
        <v>4139</v>
      </c>
    </row>
    <row r="275" spans="1:12" x14ac:dyDescent="0.25">
      <c r="B275" s="53" t="s">
        <v>4106</v>
      </c>
      <c r="C275" s="7" t="s">
        <v>4117</v>
      </c>
      <c r="D275" s="7" t="s">
        <v>4129</v>
      </c>
      <c r="E275" s="7" t="s">
        <v>4116</v>
      </c>
      <c r="F275" s="7" t="s">
        <v>4168</v>
      </c>
      <c r="G275" s="7" t="s">
        <v>5004</v>
      </c>
      <c r="H275" s="7" t="s">
        <v>4027</v>
      </c>
      <c r="I275" s="7" t="s">
        <v>4028</v>
      </c>
      <c r="J275" s="131">
        <v>6465</v>
      </c>
      <c r="K275" s="34">
        <f t="shared" si="9"/>
        <v>3853.14</v>
      </c>
      <c r="L275" t="s">
        <v>4139</v>
      </c>
    </row>
    <row r="276" spans="1:12" x14ac:dyDescent="0.25">
      <c r="B276" s="53" t="s">
        <v>4107</v>
      </c>
      <c r="C276" s="7" t="s">
        <v>4117</v>
      </c>
      <c r="D276" s="7" t="s">
        <v>4130</v>
      </c>
      <c r="E276" s="7" t="s">
        <v>4116</v>
      </c>
      <c r="F276" s="7" t="s">
        <v>4156</v>
      </c>
      <c r="G276" s="7" t="s">
        <v>5004</v>
      </c>
      <c r="H276" s="7" t="s">
        <v>4027</v>
      </c>
      <c r="I276" s="7" t="s">
        <v>4028</v>
      </c>
      <c r="J276" s="131">
        <v>6465</v>
      </c>
      <c r="K276" s="34">
        <f t="shared" si="9"/>
        <v>3853.14</v>
      </c>
      <c r="L276" t="s">
        <v>4139</v>
      </c>
    </row>
    <row r="277" spans="1:12" x14ac:dyDescent="0.25">
      <c r="B277" s="53" t="s">
        <v>4108</v>
      </c>
      <c r="C277" s="7" t="s">
        <v>4117</v>
      </c>
      <c r="D277" s="7" t="s">
        <v>4131</v>
      </c>
      <c r="E277" s="7" t="s">
        <v>4116</v>
      </c>
      <c r="F277" s="7" t="s">
        <v>4147</v>
      </c>
      <c r="G277" s="7" t="s">
        <v>5004</v>
      </c>
      <c r="H277" s="7" t="s">
        <v>4027</v>
      </c>
      <c r="I277" s="7" t="s">
        <v>4028</v>
      </c>
      <c r="J277" s="109">
        <v>6372</v>
      </c>
      <c r="K277" s="34">
        <f t="shared" si="9"/>
        <v>3797.712</v>
      </c>
      <c r="L277" t="s">
        <v>4139</v>
      </c>
    </row>
    <row r="278" spans="1:12" x14ac:dyDescent="0.25">
      <c r="B278" s="53" t="s">
        <v>4109</v>
      </c>
      <c r="C278" s="7" t="s">
        <v>4117</v>
      </c>
      <c r="D278" s="7" t="s">
        <v>4132</v>
      </c>
      <c r="E278" s="7" t="s">
        <v>4116</v>
      </c>
      <c r="F278" s="7" t="s">
        <v>4169</v>
      </c>
      <c r="G278" s="7" t="s">
        <v>5004</v>
      </c>
      <c r="H278" s="7" t="s">
        <v>4027</v>
      </c>
      <c r="I278" s="7" t="s">
        <v>4028</v>
      </c>
      <c r="J278" s="109">
        <v>6372</v>
      </c>
      <c r="K278" s="34">
        <f t="shared" si="9"/>
        <v>3797.712</v>
      </c>
      <c r="L278" t="s">
        <v>4139</v>
      </c>
    </row>
    <row r="279" spans="1:12" x14ac:dyDescent="0.25">
      <c r="B279" s="53" t="s">
        <v>4110</v>
      </c>
      <c r="C279" s="7" t="s">
        <v>4117</v>
      </c>
      <c r="D279" s="7" t="s">
        <v>4133</v>
      </c>
      <c r="E279" s="7" t="s">
        <v>4116</v>
      </c>
      <c r="F279" s="7" t="s">
        <v>4179</v>
      </c>
      <c r="G279" s="7" t="s">
        <v>5004</v>
      </c>
      <c r="H279" s="7" t="s">
        <v>4027</v>
      </c>
      <c r="I279" s="7" t="s">
        <v>4028</v>
      </c>
      <c r="J279" s="109">
        <v>6372</v>
      </c>
      <c r="K279" s="34">
        <f t="shared" si="9"/>
        <v>3797.712</v>
      </c>
      <c r="L279" t="s">
        <v>4139</v>
      </c>
    </row>
    <row r="280" spans="1:12" x14ac:dyDescent="0.25">
      <c r="B280" s="53" t="s">
        <v>4111</v>
      </c>
      <c r="C280" s="7" t="s">
        <v>4117</v>
      </c>
      <c r="D280" s="7" t="s">
        <v>4134</v>
      </c>
      <c r="E280" s="7" t="s">
        <v>4116</v>
      </c>
      <c r="F280" s="7" t="s">
        <v>4180</v>
      </c>
      <c r="G280" s="7" t="s">
        <v>5004</v>
      </c>
      <c r="H280" s="7" t="s">
        <v>4027</v>
      </c>
      <c r="I280" s="7" t="s">
        <v>4028</v>
      </c>
      <c r="J280" s="109">
        <v>6372</v>
      </c>
      <c r="K280" s="34">
        <f t="shared" si="9"/>
        <v>3797.712</v>
      </c>
      <c r="L280" t="s">
        <v>4139</v>
      </c>
    </row>
    <row r="281" spans="1:12" x14ac:dyDescent="0.25">
      <c r="B281" s="53" t="s">
        <v>4112</v>
      </c>
      <c r="C281" s="7" t="s">
        <v>4117</v>
      </c>
      <c r="D281" s="7" t="s">
        <v>4135</v>
      </c>
      <c r="E281" s="7" t="s">
        <v>4116</v>
      </c>
      <c r="F281" s="7" t="s">
        <v>4181</v>
      </c>
      <c r="G281" s="7" t="s">
        <v>5003</v>
      </c>
      <c r="H281" s="7" t="s">
        <v>4027</v>
      </c>
      <c r="I281" s="7" t="s">
        <v>4028</v>
      </c>
      <c r="J281" s="109">
        <v>8255</v>
      </c>
      <c r="K281" s="34">
        <f t="shared" si="9"/>
        <v>4919.9799999999996</v>
      </c>
      <c r="L281" t="s">
        <v>4139</v>
      </c>
    </row>
    <row r="282" spans="1:12" x14ac:dyDescent="0.25">
      <c r="B282" s="53" t="s">
        <v>4113</v>
      </c>
      <c r="C282" s="7" t="s">
        <v>4117</v>
      </c>
      <c r="D282" s="7" t="s">
        <v>4136</v>
      </c>
      <c r="E282" s="7" t="s">
        <v>4116</v>
      </c>
      <c r="F282" s="7" t="s">
        <v>4182</v>
      </c>
      <c r="G282" s="7" t="s">
        <v>5003</v>
      </c>
      <c r="H282" s="7" t="s">
        <v>4027</v>
      </c>
      <c r="I282" s="7" t="s">
        <v>4028</v>
      </c>
      <c r="J282" s="109">
        <v>8255</v>
      </c>
      <c r="K282" s="34">
        <f t="shared" si="9"/>
        <v>4919.9799999999996</v>
      </c>
      <c r="L282" t="s">
        <v>4139</v>
      </c>
    </row>
    <row r="283" spans="1:12" x14ac:dyDescent="0.25">
      <c r="B283" s="53" t="s">
        <v>4114</v>
      </c>
      <c r="C283" s="7" t="s">
        <v>4117</v>
      </c>
      <c r="D283" s="7" t="s">
        <v>4137</v>
      </c>
      <c r="E283" s="7" t="s">
        <v>4116</v>
      </c>
      <c r="F283" s="7" t="s">
        <v>4183</v>
      </c>
      <c r="G283" s="7" t="s">
        <v>5003</v>
      </c>
      <c r="H283" s="7" t="s">
        <v>4027</v>
      </c>
      <c r="I283" s="7" t="s">
        <v>4028</v>
      </c>
      <c r="J283" s="109">
        <v>8255</v>
      </c>
      <c r="K283" s="34">
        <f t="shared" si="9"/>
        <v>4919.9799999999996</v>
      </c>
      <c r="L283" t="s">
        <v>4139</v>
      </c>
    </row>
    <row r="284" spans="1:12" x14ac:dyDescent="0.25">
      <c r="B284" s="53" t="s">
        <v>4115</v>
      </c>
      <c r="C284" s="7" t="s">
        <v>4117</v>
      </c>
      <c r="D284" s="7" t="s">
        <v>687</v>
      </c>
      <c r="E284" s="7" t="s">
        <v>4116</v>
      </c>
      <c r="F284" s="7" t="s">
        <v>4184</v>
      </c>
      <c r="G284" s="7" t="s">
        <v>5003</v>
      </c>
      <c r="H284" s="7" t="s">
        <v>4027</v>
      </c>
      <c r="I284" s="7" t="s">
        <v>4028</v>
      </c>
      <c r="J284" s="109">
        <v>8255</v>
      </c>
      <c r="K284" s="34">
        <f t="shared" si="9"/>
        <v>4919.9799999999996</v>
      </c>
      <c r="L284" t="s">
        <v>4139</v>
      </c>
    </row>
    <row r="285" spans="1:12" s="62" customFormat="1" x14ac:dyDescent="0.25">
      <c r="A285" s="62" t="s">
        <v>4363</v>
      </c>
      <c r="B285" s="81" t="s">
        <v>4116</v>
      </c>
      <c r="J285" s="108"/>
      <c r="K285" s="65"/>
    </row>
    <row r="286" spans="1:12" x14ac:dyDescent="0.25">
      <c r="B286" s="53" t="s">
        <v>4186</v>
      </c>
      <c r="C286" s="132" t="s">
        <v>4364</v>
      </c>
      <c r="D286" s="7" t="s">
        <v>124</v>
      </c>
      <c r="E286" s="7" t="s">
        <v>4116</v>
      </c>
      <c r="F286" s="2" t="s">
        <v>4368</v>
      </c>
      <c r="G286" s="7" t="s">
        <v>5004</v>
      </c>
      <c r="H286" t="s">
        <v>4027</v>
      </c>
      <c r="I286" t="s">
        <v>4028</v>
      </c>
      <c r="J286" s="109">
        <v>6503</v>
      </c>
      <c r="K286" s="34">
        <f t="shared" si="9"/>
        <v>3875.788</v>
      </c>
      <c r="L286" t="s">
        <v>4139</v>
      </c>
    </row>
    <row r="287" spans="1:12" x14ac:dyDescent="0.25">
      <c r="B287" s="53" t="s">
        <v>4187</v>
      </c>
      <c r="C287" s="132" t="s">
        <v>4364</v>
      </c>
      <c r="D287" s="7" t="s">
        <v>125</v>
      </c>
      <c r="E287" s="7" t="s">
        <v>4116</v>
      </c>
      <c r="F287" s="7" t="s">
        <v>4369</v>
      </c>
      <c r="G287" s="7" t="s">
        <v>5004</v>
      </c>
      <c r="H287" t="s">
        <v>4027</v>
      </c>
      <c r="I287" t="s">
        <v>4028</v>
      </c>
      <c r="J287" s="109">
        <v>6503</v>
      </c>
      <c r="K287" s="34">
        <f t="shared" si="9"/>
        <v>3875.788</v>
      </c>
      <c r="L287" t="s">
        <v>4139</v>
      </c>
    </row>
    <row r="288" spans="1:12" x14ac:dyDescent="0.25">
      <c r="B288" s="53" t="s">
        <v>4188</v>
      </c>
      <c r="C288" s="132" t="s">
        <v>4364</v>
      </c>
      <c r="D288" s="7" t="s">
        <v>126</v>
      </c>
      <c r="E288" s="7" t="s">
        <v>4116</v>
      </c>
      <c r="F288" s="7" t="s">
        <v>4370</v>
      </c>
      <c r="G288" s="7" t="s">
        <v>5004</v>
      </c>
      <c r="H288" t="s">
        <v>4027</v>
      </c>
      <c r="I288" t="s">
        <v>4028</v>
      </c>
      <c r="J288" s="109">
        <v>6503</v>
      </c>
      <c r="K288" s="34">
        <f t="shared" si="9"/>
        <v>3875.788</v>
      </c>
      <c r="L288" t="s">
        <v>4139</v>
      </c>
    </row>
    <row r="289" spans="2:12" x14ac:dyDescent="0.25">
      <c r="B289" s="53" t="s">
        <v>4189</v>
      </c>
      <c r="C289" s="132" t="s">
        <v>4364</v>
      </c>
      <c r="D289" s="7" t="s">
        <v>127</v>
      </c>
      <c r="E289" s="7" t="s">
        <v>4116</v>
      </c>
      <c r="F289" s="7" t="s">
        <v>4371</v>
      </c>
      <c r="G289" s="7" t="s">
        <v>5004</v>
      </c>
      <c r="H289" t="s">
        <v>4027</v>
      </c>
      <c r="I289" t="s">
        <v>4028</v>
      </c>
      <c r="J289" s="109">
        <v>6766</v>
      </c>
      <c r="K289" s="34">
        <f t="shared" si="9"/>
        <v>4032.5359999999996</v>
      </c>
      <c r="L289" t="s">
        <v>4139</v>
      </c>
    </row>
    <row r="290" spans="2:12" x14ac:dyDescent="0.25">
      <c r="B290" s="53" t="s">
        <v>4190</v>
      </c>
      <c r="C290" s="132" t="s">
        <v>4364</v>
      </c>
      <c r="D290" s="7" t="s">
        <v>128</v>
      </c>
      <c r="E290" s="7" t="s">
        <v>4116</v>
      </c>
      <c r="F290" s="7" t="s">
        <v>4372</v>
      </c>
      <c r="G290" s="7" t="s">
        <v>5004</v>
      </c>
      <c r="H290" t="s">
        <v>4027</v>
      </c>
      <c r="I290" t="s">
        <v>4028</v>
      </c>
      <c r="J290" s="109">
        <v>6766</v>
      </c>
      <c r="K290" s="34">
        <f t="shared" si="9"/>
        <v>4032.5359999999996</v>
      </c>
      <c r="L290" t="s">
        <v>4139</v>
      </c>
    </row>
    <row r="291" spans="2:12" x14ac:dyDescent="0.25">
      <c r="B291" s="53" t="s">
        <v>4191</v>
      </c>
      <c r="C291" s="132" t="s">
        <v>4364</v>
      </c>
      <c r="D291" s="7" t="s">
        <v>129</v>
      </c>
      <c r="E291" s="7" t="s">
        <v>4116</v>
      </c>
      <c r="F291" s="7" t="s">
        <v>4373</v>
      </c>
      <c r="G291" s="7" t="s">
        <v>5004</v>
      </c>
      <c r="H291" t="s">
        <v>4027</v>
      </c>
      <c r="I291" t="s">
        <v>4028</v>
      </c>
      <c r="J291" s="109">
        <v>6766</v>
      </c>
      <c r="K291" s="34">
        <f t="shared" si="9"/>
        <v>4032.5359999999996</v>
      </c>
      <c r="L291" t="s">
        <v>4139</v>
      </c>
    </row>
    <row r="292" spans="2:12" x14ac:dyDescent="0.25">
      <c r="B292" s="53" t="s">
        <v>4192</v>
      </c>
      <c r="C292" s="132" t="s">
        <v>4364</v>
      </c>
      <c r="D292" s="7" t="s">
        <v>130</v>
      </c>
      <c r="E292" s="7" t="s">
        <v>4116</v>
      </c>
      <c r="F292" s="7" t="s">
        <v>4374</v>
      </c>
      <c r="G292" s="7" t="s">
        <v>5004</v>
      </c>
      <c r="H292" t="s">
        <v>4027</v>
      </c>
      <c r="I292" t="s">
        <v>4028</v>
      </c>
      <c r="J292" s="109">
        <v>6766</v>
      </c>
      <c r="K292" s="34">
        <f t="shared" si="9"/>
        <v>4032.5359999999996</v>
      </c>
      <c r="L292" t="s">
        <v>4139</v>
      </c>
    </row>
    <row r="293" spans="2:12" x14ac:dyDescent="0.25">
      <c r="B293" s="53" t="s">
        <v>4193</v>
      </c>
      <c r="C293" s="132" t="s">
        <v>4364</v>
      </c>
      <c r="D293" s="7" t="s">
        <v>142</v>
      </c>
      <c r="E293" s="7" t="s">
        <v>4116</v>
      </c>
      <c r="F293" s="7" t="s">
        <v>4375</v>
      </c>
      <c r="G293" s="7" t="s">
        <v>5003</v>
      </c>
      <c r="H293" t="s">
        <v>4027</v>
      </c>
      <c r="I293" t="s">
        <v>4028</v>
      </c>
      <c r="J293" s="109">
        <v>8333</v>
      </c>
      <c r="K293" s="34">
        <f t="shared" si="9"/>
        <v>4966.4679999999998</v>
      </c>
      <c r="L293" t="s">
        <v>4139</v>
      </c>
    </row>
    <row r="294" spans="2:12" x14ac:dyDescent="0.25">
      <c r="B294" s="53" t="s">
        <v>4194</v>
      </c>
      <c r="C294" s="132" t="s">
        <v>4364</v>
      </c>
      <c r="D294" s="7" t="s">
        <v>143</v>
      </c>
      <c r="E294" s="7" t="s">
        <v>4116</v>
      </c>
      <c r="F294" s="7" t="s">
        <v>4376</v>
      </c>
      <c r="G294" s="7" t="s">
        <v>5003</v>
      </c>
      <c r="H294" t="s">
        <v>4027</v>
      </c>
      <c r="I294" t="s">
        <v>4028</v>
      </c>
      <c r="J294" s="109">
        <v>8333</v>
      </c>
      <c r="K294" s="34">
        <f t="shared" si="9"/>
        <v>4966.4679999999998</v>
      </c>
      <c r="L294" t="s">
        <v>4139</v>
      </c>
    </row>
    <row r="295" spans="2:12" x14ac:dyDescent="0.25">
      <c r="B295" s="53" t="s">
        <v>4195</v>
      </c>
      <c r="C295" s="132" t="s">
        <v>4364</v>
      </c>
      <c r="D295" s="7" t="s">
        <v>144</v>
      </c>
      <c r="E295" s="7" t="s">
        <v>4116</v>
      </c>
      <c r="F295" s="7" t="s">
        <v>4377</v>
      </c>
      <c r="G295" s="7" t="s">
        <v>5003</v>
      </c>
      <c r="H295" t="s">
        <v>4027</v>
      </c>
      <c r="I295" t="s">
        <v>4028</v>
      </c>
      <c r="J295" s="109">
        <v>8333</v>
      </c>
      <c r="K295" s="34">
        <f t="shared" si="9"/>
        <v>4966.4679999999998</v>
      </c>
      <c r="L295" t="s">
        <v>4139</v>
      </c>
    </row>
    <row r="296" spans="2:12" x14ac:dyDescent="0.25">
      <c r="B296" s="53" t="s">
        <v>4196</v>
      </c>
      <c r="C296" s="132" t="s">
        <v>4364</v>
      </c>
      <c r="D296" s="7" t="s">
        <v>145</v>
      </c>
      <c r="E296" s="7" t="s">
        <v>4116</v>
      </c>
      <c r="F296" s="7" t="s">
        <v>4378</v>
      </c>
      <c r="G296" s="7" t="s">
        <v>5003</v>
      </c>
      <c r="H296" t="s">
        <v>4027</v>
      </c>
      <c r="I296" t="s">
        <v>4028</v>
      </c>
      <c r="J296" s="109">
        <v>8333</v>
      </c>
      <c r="K296" s="34">
        <f t="shared" si="9"/>
        <v>4966.4679999999998</v>
      </c>
      <c r="L296" t="s">
        <v>4139</v>
      </c>
    </row>
    <row r="297" spans="2:12" x14ac:dyDescent="0.25">
      <c r="B297" s="53" t="s">
        <v>4197</v>
      </c>
      <c r="C297" s="132" t="s">
        <v>4364</v>
      </c>
      <c r="D297" s="7" t="s">
        <v>131</v>
      </c>
      <c r="E297" s="7" t="s">
        <v>4116</v>
      </c>
      <c r="F297" s="7" t="s">
        <v>4379</v>
      </c>
      <c r="G297" s="7" t="s">
        <v>5004</v>
      </c>
      <c r="H297" t="s">
        <v>4027</v>
      </c>
      <c r="I297" t="s">
        <v>4028</v>
      </c>
      <c r="J297" s="109">
        <v>6503</v>
      </c>
      <c r="K297" s="34">
        <f t="shared" si="9"/>
        <v>3875.788</v>
      </c>
      <c r="L297" t="s">
        <v>4139</v>
      </c>
    </row>
    <row r="298" spans="2:12" x14ac:dyDescent="0.25">
      <c r="B298" s="53" t="s">
        <v>4198</v>
      </c>
      <c r="C298" s="132" t="s">
        <v>4364</v>
      </c>
      <c r="D298" s="7" t="s">
        <v>132</v>
      </c>
      <c r="E298" s="7" t="s">
        <v>4116</v>
      </c>
      <c r="F298" s="7" t="s">
        <v>4380</v>
      </c>
      <c r="G298" s="7" t="s">
        <v>5004</v>
      </c>
      <c r="H298" t="s">
        <v>4027</v>
      </c>
      <c r="I298" t="s">
        <v>4028</v>
      </c>
      <c r="J298" s="109">
        <v>6503</v>
      </c>
      <c r="K298" s="34">
        <f t="shared" si="9"/>
        <v>3875.788</v>
      </c>
      <c r="L298" t="s">
        <v>4139</v>
      </c>
    </row>
    <row r="299" spans="2:12" x14ac:dyDescent="0.25">
      <c r="B299" s="53" t="s">
        <v>4199</v>
      </c>
      <c r="C299" s="132" t="s">
        <v>4364</v>
      </c>
      <c r="D299" s="7" t="s">
        <v>133</v>
      </c>
      <c r="E299" s="7" t="s">
        <v>4116</v>
      </c>
      <c r="F299" s="7" t="s">
        <v>4381</v>
      </c>
      <c r="G299" s="7" t="s">
        <v>5004</v>
      </c>
      <c r="H299" t="s">
        <v>4027</v>
      </c>
      <c r="I299" t="s">
        <v>4028</v>
      </c>
      <c r="J299" s="109">
        <v>6503</v>
      </c>
      <c r="K299" s="34">
        <f t="shared" si="9"/>
        <v>3875.788</v>
      </c>
      <c r="L299" t="s">
        <v>4139</v>
      </c>
    </row>
    <row r="300" spans="2:12" x14ac:dyDescent="0.25">
      <c r="B300" s="53" t="s">
        <v>4200</v>
      </c>
      <c r="C300" s="132" t="s">
        <v>4364</v>
      </c>
      <c r="D300" s="7" t="s">
        <v>134</v>
      </c>
      <c r="E300" s="7" t="s">
        <v>4116</v>
      </c>
      <c r="F300" s="7" t="s">
        <v>4382</v>
      </c>
      <c r="G300" s="7" t="s">
        <v>5004</v>
      </c>
      <c r="H300" t="s">
        <v>4027</v>
      </c>
      <c r="I300" t="s">
        <v>4028</v>
      </c>
      <c r="J300" s="109">
        <v>6766</v>
      </c>
      <c r="K300" s="34">
        <f t="shared" si="9"/>
        <v>4032.5359999999996</v>
      </c>
      <c r="L300" t="s">
        <v>4139</v>
      </c>
    </row>
    <row r="301" spans="2:12" x14ac:dyDescent="0.25">
      <c r="B301" s="53" t="s">
        <v>4201</v>
      </c>
      <c r="C301" s="132" t="s">
        <v>4364</v>
      </c>
      <c r="D301" s="7" t="s">
        <v>135</v>
      </c>
      <c r="E301" s="7" t="s">
        <v>4116</v>
      </c>
      <c r="F301" s="7" t="s">
        <v>4383</v>
      </c>
      <c r="G301" s="7" t="s">
        <v>5004</v>
      </c>
      <c r="H301" t="s">
        <v>4027</v>
      </c>
      <c r="I301" t="s">
        <v>4028</v>
      </c>
      <c r="J301" s="109">
        <v>6766</v>
      </c>
      <c r="K301" s="34">
        <f t="shared" si="9"/>
        <v>4032.5359999999996</v>
      </c>
      <c r="L301" t="s">
        <v>4139</v>
      </c>
    </row>
    <row r="302" spans="2:12" x14ac:dyDescent="0.25">
      <c r="B302" s="53" t="s">
        <v>4202</v>
      </c>
      <c r="C302" s="132" t="s">
        <v>4364</v>
      </c>
      <c r="D302" s="7" t="s">
        <v>136</v>
      </c>
      <c r="E302" s="7" t="s">
        <v>4116</v>
      </c>
      <c r="F302" s="7" t="s">
        <v>4384</v>
      </c>
      <c r="G302" s="7" t="s">
        <v>5004</v>
      </c>
      <c r="H302" t="s">
        <v>4027</v>
      </c>
      <c r="I302" t="s">
        <v>4028</v>
      </c>
      <c r="J302" s="109">
        <v>6766</v>
      </c>
      <c r="K302" s="34">
        <f t="shared" si="9"/>
        <v>4032.5359999999996</v>
      </c>
      <c r="L302" t="s">
        <v>4139</v>
      </c>
    </row>
    <row r="303" spans="2:12" x14ac:dyDescent="0.25">
      <c r="B303" s="53" t="s">
        <v>4203</v>
      </c>
      <c r="C303" s="132" t="s">
        <v>4364</v>
      </c>
      <c r="D303" s="7" t="s">
        <v>137</v>
      </c>
      <c r="E303" s="7" t="s">
        <v>4116</v>
      </c>
      <c r="F303" s="7" t="s">
        <v>4385</v>
      </c>
      <c r="G303" s="7" t="s">
        <v>5004</v>
      </c>
      <c r="H303" t="s">
        <v>4027</v>
      </c>
      <c r="I303" t="s">
        <v>4028</v>
      </c>
      <c r="J303" s="109">
        <v>6766</v>
      </c>
      <c r="K303" s="34">
        <f t="shared" si="9"/>
        <v>4032.5359999999996</v>
      </c>
      <c r="L303" t="s">
        <v>4139</v>
      </c>
    </row>
    <row r="304" spans="2:12" x14ac:dyDescent="0.25">
      <c r="B304" s="53" t="s">
        <v>4204</v>
      </c>
      <c r="C304" s="132" t="s">
        <v>4364</v>
      </c>
      <c r="D304" s="7" t="s">
        <v>146</v>
      </c>
      <c r="E304" s="7" t="s">
        <v>4116</v>
      </c>
      <c r="F304" s="7" t="s">
        <v>4386</v>
      </c>
      <c r="G304" s="7" t="s">
        <v>5003</v>
      </c>
      <c r="H304" t="s">
        <v>4027</v>
      </c>
      <c r="I304" t="s">
        <v>4028</v>
      </c>
      <c r="J304" s="109">
        <v>8333</v>
      </c>
      <c r="K304" s="34">
        <f t="shared" si="9"/>
        <v>4966.4679999999998</v>
      </c>
      <c r="L304" t="s">
        <v>4139</v>
      </c>
    </row>
    <row r="305" spans="2:12" x14ac:dyDescent="0.25">
      <c r="B305" s="53" t="s">
        <v>4205</v>
      </c>
      <c r="C305" s="132" t="s">
        <v>4364</v>
      </c>
      <c r="D305" s="7" t="s">
        <v>156</v>
      </c>
      <c r="E305" s="7" t="s">
        <v>4116</v>
      </c>
      <c r="F305" s="7" t="s">
        <v>4387</v>
      </c>
      <c r="G305" s="7" t="s">
        <v>5003</v>
      </c>
      <c r="H305" t="s">
        <v>4027</v>
      </c>
      <c r="I305" t="s">
        <v>4028</v>
      </c>
      <c r="J305" s="109">
        <v>8333</v>
      </c>
      <c r="K305" s="34">
        <f t="shared" si="9"/>
        <v>4966.4679999999998</v>
      </c>
      <c r="L305" t="s">
        <v>4139</v>
      </c>
    </row>
    <row r="306" spans="2:12" x14ac:dyDescent="0.25">
      <c r="B306" s="53" t="s">
        <v>4206</v>
      </c>
      <c r="C306" s="132" t="s">
        <v>4364</v>
      </c>
      <c r="D306" s="7" t="s">
        <v>148</v>
      </c>
      <c r="E306" s="7" t="s">
        <v>4116</v>
      </c>
      <c r="F306" s="7" t="s">
        <v>4388</v>
      </c>
      <c r="G306" s="7" t="s">
        <v>5003</v>
      </c>
      <c r="H306" t="s">
        <v>4027</v>
      </c>
      <c r="I306" t="s">
        <v>4028</v>
      </c>
      <c r="J306" s="109">
        <v>8333</v>
      </c>
      <c r="K306" s="34">
        <f t="shared" si="9"/>
        <v>4966.4679999999998</v>
      </c>
      <c r="L306" t="s">
        <v>4139</v>
      </c>
    </row>
    <row r="307" spans="2:12" x14ac:dyDescent="0.25">
      <c r="B307" s="53" t="s">
        <v>4207</v>
      </c>
      <c r="C307" s="132" t="s">
        <v>4364</v>
      </c>
      <c r="D307" s="7" t="s">
        <v>149</v>
      </c>
      <c r="E307" s="7" t="s">
        <v>4116</v>
      </c>
      <c r="F307" s="7" t="s">
        <v>4389</v>
      </c>
      <c r="G307" s="7" t="s">
        <v>5003</v>
      </c>
      <c r="H307" t="s">
        <v>4027</v>
      </c>
      <c r="I307" t="s">
        <v>4028</v>
      </c>
      <c r="J307" s="109">
        <v>8333</v>
      </c>
      <c r="K307" s="34">
        <f t="shared" si="9"/>
        <v>4966.4679999999998</v>
      </c>
      <c r="L307" t="s">
        <v>4139</v>
      </c>
    </row>
    <row r="308" spans="2:12" x14ac:dyDescent="0.25">
      <c r="B308" s="53" t="s">
        <v>4208</v>
      </c>
      <c r="C308" s="132" t="s">
        <v>4364</v>
      </c>
      <c r="D308" s="7" t="s">
        <v>4118</v>
      </c>
      <c r="E308" s="7" t="s">
        <v>4116</v>
      </c>
      <c r="F308" s="7" t="s">
        <v>4390</v>
      </c>
      <c r="G308" s="7" t="s">
        <v>5004</v>
      </c>
      <c r="H308" t="s">
        <v>4027</v>
      </c>
      <c r="I308" t="s">
        <v>4028</v>
      </c>
      <c r="J308" s="109">
        <v>6503</v>
      </c>
      <c r="K308" s="34">
        <f t="shared" si="9"/>
        <v>3875.788</v>
      </c>
      <c r="L308" t="s">
        <v>4139</v>
      </c>
    </row>
    <row r="309" spans="2:12" x14ac:dyDescent="0.25">
      <c r="B309" s="53" t="s">
        <v>4209</v>
      </c>
      <c r="C309" s="132" t="s">
        <v>4364</v>
      </c>
      <c r="D309" s="7" t="s">
        <v>4119</v>
      </c>
      <c r="E309" s="7" t="s">
        <v>4116</v>
      </c>
      <c r="F309" s="7" t="s">
        <v>4391</v>
      </c>
      <c r="G309" s="7" t="s">
        <v>5004</v>
      </c>
      <c r="H309" t="s">
        <v>4027</v>
      </c>
      <c r="I309" t="s">
        <v>4028</v>
      </c>
      <c r="J309" s="109">
        <v>6503</v>
      </c>
      <c r="K309" s="34">
        <f t="shared" si="9"/>
        <v>3875.788</v>
      </c>
      <c r="L309" t="s">
        <v>4139</v>
      </c>
    </row>
    <row r="310" spans="2:12" x14ac:dyDescent="0.25">
      <c r="B310" s="53" t="s">
        <v>4210</v>
      </c>
      <c r="C310" s="132" t="s">
        <v>4364</v>
      </c>
      <c r="D310" s="7" t="s">
        <v>4120</v>
      </c>
      <c r="E310" s="7" t="s">
        <v>4116</v>
      </c>
      <c r="F310" s="7" t="s">
        <v>4392</v>
      </c>
      <c r="G310" s="7" t="s">
        <v>5004</v>
      </c>
      <c r="H310" t="s">
        <v>4027</v>
      </c>
      <c r="I310" t="s">
        <v>4028</v>
      </c>
      <c r="J310" s="109">
        <v>6503</v>
      </c>
      <c r="K310" s="34">
        <f t="shared" si="9"/>
        <v>3875.788</v>
      </c>
      <c r="L310" t="s">
        <v>4139</v>
      </c>
    </row>
    <row r="311" spans="2:12" x14ac:dyDescent="0.25">
      <c r="B311" s="53" t="s">
        <v>4211</v>
      </c>
      <c r="C311" s="132" t="s">
        <v>4364</v>
      </c>
      <c r="D311" s="7" t="s">
        <v>4121</v>
      </c>
      <c r="E311" s="7" t="s">
        <v>4116</v>
      </c>
      <c r="F311" s="7" t="s">
        <v>4393</v>
      </c>
      <c r="G311" s="7" t="s">
        <v>5004</v>
      </c>
      <c r="H311" t="s">
        <v>4027</v>
      </c>
      <c r="I311" t="s">
        <v>4028</v>
      </c>
      <c r="J311" s="109">
        <v>6766</v>
      </c>
      <c r="K311" s="34">
        <f t="shared" si="9"/>
        <v>4032.5359999999996</v>
      </c>
      <c r="L311" t="s">
        <v>4139</v>
      </c>
    </row>
    <row r="312" spans="2:12" x14ac:dyDescent="0.25">
      <c r="B312" s="53" t="s">
        <v>4212</v>
      </c>
      <c r="C312" s="132" t="s">
        <v>4364</v>
      </c>
      <c r="D312" s="7" t="s">
        <v>4122</v>
      </c>
      <c r="E312" s="7" t="s">
        <v>4116</v>
      </c>
      <c r="F312" s="7" t="s">
        <v>4394</v>
      </c>
      <c r="G312" s="7" t="s">
        <v>5004</v>
      </c>
      <c r="H312" t="s">
        <v>4027</v>
      </c>
      <c r="I312" t="s">
        <v>4028</v>
      </c>
      <c r="J312" s="109">
        <v>6766</v>
      </c>
      <c r="K312" s="34">
        <f t="shared" si="9"/>
        <v>4032.5359999999996</v>
      </c>
      <c r="L312" t="s">
        <v>4139</v>
      </c>
    </row>
    <row r="313" spans="2:12" x14ac:dyDescent="0.25">
      <c r="B313" s="53" t="s">
        <v>4213</v>
      </c>
      <c r="C313" s="132" t="s">
        <v>4364</v>
      </c>
      <c r="D313" s="7" t="s">
        <v>4123</v>
      </c>
      <c r="E313" s="7" t="s">
        <v>4116</v>
      </c>
      <c r="F313" s="7" t="s">
        <v>4395</v>
      </c>
      <c r="G313" s="7" t="s">
        <v>5004</v>
      </c>
      <c r="H313" t="s">
        <v>4027</v>
      </c>
      <c r="I313" t="s">
        <v>4028</v>
      </c>
      <c r="J313" s="109">
        <v>6766</v>
      </c>
      <c r="K313" s="34">
        <f t="shared" si="9"/>
        <v>4032.5359999999996</v>
      </c>
      <c r="L313" t="s">
        <v>4139</v>
      </c>
    </row>
    <row r="314" spans="2:12" x14ac:dyDescent="0.25">
      <c r="B314" s="53" t="s">
        <v>4214</v>
      </c>
      <c r="C314" s="132" t="s">
        <v>4364</v>
      </c>
      <c r="D314" s="7" t="s">
        <v>4124</v>
      </c>
      <c r="E314" s="7" t="s">
        <v>4116</v>
      </c>
      <c r="F314" s="7" t="s">
        <v>4396</v>
      </c>
      <c r="G314" s="7" t="s">
        <v>5004</v>
      </c>
      <c r="H314" t="s">
        <v>4027</v>
      </c>
      <c r="I314" t="s">
        <v>4028</v>
      </c>
      <c r="J314" s="109">
        <v>6766</v>
      </c>
      <c r="K314" s="34">
        <f t="shared" si="9"/>
        <v>4032.5359999999996</v>
      </c>
      <c r="L314" t="s">
        <v>4139</v>
      </c>
    </row>
    <row r="315" spans="2:12" x14ac:dyDescent="0.25">
      <c r="B315" s="53" t="s">
        <v>4215</v>
      </c>
      <c r="C315" s="132" t="s">
        <v>4364</v>
      </c>
      <c r="D315" s="7" t="s">
        <v>4125</v>
      </c>
      <c r="E315" s="7" t="s">
        <v>4116</v>
      </c>
      <c r="F315" s="7" t="s">
        <v>4397</v>
      </c>
      <c r="G315" s="7" t="s">
        <v>5003</v>
      </c>
      <c r="H315" t="s">
        <v>4027</v>
      </c>
      <c r="I315" t="s">
        <v>4028</v>
      </c>
      <c r="J315" s="109">
        <v>8333</v>
      </c>
      <c r="K315" s="34">
        <f t="shared" si="9"/>
        <v>4966.4679999999998</v>
      </c>
      <c r="L315" t="s">
        <v>4139</v>
      </c>
    </row>
    <row r="316" spans="2:12" x14ac:dyDescent="0.25">
      <c r="B316" s="53" t="s">
        <v>4216</v>
      </c>
      <c r="C316" s="132" t="s">
        <v>4364</v>
      </c>
      <c r="D316" s="7" t="s">
        <v>4126</v>
      </c>
      <c r="E316" s="7" t="s">
        <v>4116</v>
      </c>
      <c r="F316" s="7" t="s">
        <v>4398</v>
      </c>
      <c r="G316" s="7" t="s">
        <v>5003</v>
      </c>
      <c r="H316" t="s">
        <v>4027</v>
      </c>
      <c r="I316" t="s">
        <v>4028</v>
      </c>
      <c r="J316" s="109">
        <v>8333</v>
      </c>
      <c r="K316" s="34">
        <f t="shared" si="9"/>
        <v>4966.4679999999998</v>
      </c>
      <c r="L316" t="s">
        <v>4139</v>
      </c>
    </row>
    <row r="317" spans="2:12" x14ac:dyDescent="0.25">
      <c r="B317" s="53" t="s">
        <v>4217</v>
      </c>
      <c r="C317" s="132" t="s">
        <v>4364</v>
      </c>
      <c r="D317" s="7" t="s">
        <v>4127</v>
      </c>
      <c r="E317" s="7" t="s">
        <v>4116</v>
      </c>
      <c r="F317" s="7" t="s">
        <v>4399</v>
      </c>
      <c r="G317" s="7" t="s">
        <v>5003</v>
      </c>
      <c r="H317" t="s">
        <v>4027</v>
      </c>
      <c r="I317" t="s">
        <v>4028</v>
      </c>
      <c r="J317" s="109">
        <v>8333</v>
      </c>
      <c r="K317" s="34">
        <f t="shared" si="9"/>
        <v>4966.4679999999998</v>
      </c>
      <c r="L317" t="s">
        <v>4139</v>
      </c>
    </row>
    <row r="318" spans="2:12" x14ac:dyDescent="0.25">
      <c r="B318" s="53" t="s">
        <v>4218</v>
      </c>
      <c r="C318" s="132" t="s">
        <v>4364</v>
      </c>
      <c r="D318" s="7" t="s">
        <v>674</v>
      </c>
      <c r="E318" s="7" t="s">
        <v>4116</v>
      </c>
      <c r="F318" s="7" t="s">
        <v>4400</v>
      </c>
      <c r="G318" s="7" t="s">
        <v>5003</v>
      </c>
      <c r="H318" t="s">
        <v>4027</v>
      </c>
      <c r="I318" t="s">
        <v>4028</v>
      </c>
      <c r="J318" s="109">
        <v>8333</v>
      </c>
      <c r="K318" s="34">
        <f t="shared" si="9"/>
        <v>4966.4679999999998</v>
      </c>
      <c r="L318" t="s">
        <v>4139</v>
      </c>
    </row>
    <row r="319" spans="2:12" x14ac:dyDescent="0.25">
      <c r="B319" s="53" t="s">
        <v>4219</v>
      </c>
      <c r="C319" s="132" t="s">
        <v>4364</v>
      </c>
      <c r="D319" s="7" t="s">
        <v>4128</v>
      </c>
      <c r="E319" s="7" t="s">
        <v>4116</v>
      </c>
      <c r="F319" s="7" t="s">
        <v>4401</v>
      </c>
      <c r="G319" s="7" t="s">
        <v>5004</v>
      </c>
      <c r="H319" t="s">
        <v>4027</v>
      </c>
      <c r="I319" t="s">
        <v>4028</v>
      </c>
      <c r="J319" s="109">
        <v>6503</v>
      </c>
      <c r="K319" s="34">
        <f t="shared" ref="K319:K382" si="10">J319*0.596</f>
        <v>3875.788</v>
      </c>
      <c r="L319" t="s">
        <v>4139</v>
      </c>
    </row>
    <row r="320" spans="2:12" x14ac:dyDescent="0.25">
      <c r="B320" s="53" t="s">
        <v>4220</v>
      </c>
      <c r="C320" s="132" t="s">
        <v>4364</v>
      </c>
      <c r="D320" s="7" t="s">
        <v>4129</v>
      </c>
      <c r="E320" s="7" t="s">
        <v>4116</v>
      </c>
      <c r="F320" s="7" t="s">
        <v>4402</v>
      </c>
      <c r="G320" s="7" t="s">
        <v>5004</v>
      </c>
      <c r="H320" t="s">
        <v>4027</v>
      </c>
      <c r="I320" t="s">
        <v>4028</v>
      </c>
      <c r="J320" s="109">
        <v>6503</v>
      </c>
      <c r="K320" s="34">
        <f t="shared" si="10"/>
        <v>3875.788</v>
      </c>
      <c r="L320" t="s">
        <v>4139</v>
      </c>
    </row>
    <row r="321" spans="2:12" x14ac:dyDescent="0.25">
      <c r="B321" s="53" t="s">
        <v>4221</v>
      </c>
      <c r="C321" s="132" t="s">
        <v>4364</v>
      </c>
      <c r="D321" s="7" t="s">
        <v>4130</v>
      </c>
      <c r="E321" s="7" t="s">
        <v>4116</v>
      </c>
      <c r="F321" s="7" t="s">
        <v>4403</v>
      </c>
      <c r="G321" s="7" t="s">
        <v>5004</v>
      </c>
      <c r="H321" t="s">
        <v>4027</v>
      </c>
      <c r="I321" t="s">
        <v>4028</v>
      </c>
      <c r="J321" s="109">
        <v>6503</v>
      </c>
      <c r="K321" s="34">
        <f t="shared" si="10"/>
        <v>3875.788</v>
      </c>
      <c r="L321" t="s">
        <v>4139</v>
      </c>
    </row>
    <row r="322" spans="2:12" x14ac:dyDescent="0.25">
      <c r="B322" s="53" t="s">
        <v>4222</v>
      </c>
      <c r="C322" s="132" t="s">
        <v>4364</v>
      </c>
      <c r="D322" s="7" t="s">
        <v>4131</v>
      </c>
      <c r="E322" s="7" t="s">
        <v>4116</v>
      </c>
      <c r="F322" s="7" t="s">
        <v>4404</v>
      </c>
      <c r="G322" s="7" t="s">
        <v>5004</v>
      </c>
      <c r="H322" t="s">
        <v>4027</v>
      </c>
      <c r="I322" t="s">
        <v>4028</v>
      </c>
      <c r="J322" s="109">
        <v>6766</v>
      </c>
      <c r="K322" s="34">
        <f t="shared" si="10"/>
        <v>4032.5359999999996</v>
      </c>
      <c r="L322" t="s">
        <v>4139</v>
      </c>
    </row>
    <row r="323" spans="2:12" x14ac:dyDescent="0.25">
      <c r="B323" s="53" t="s">
        <v>4223</v>
      </c>
      <c r="C323" s="132" t="s">
        <v>4364</v>
      </c>
      <c r="D323" s="7" t="s">
        <v>4132</v>
      </c>
      <c r="E323" s="7" t="s">
        <v>4116</v>
      </c>
      <c r="F323" s="7" t="s">
        <v>4405</v>
      </c>
      <c r="G323" s="7" t="s">
        <v>5004</v>
      </c>
      <c r="H323" t="s">
        <v>4027</v>
      </c>
      <c r="I323" t="s">
        <v>4028</v>
      </c>
      <c r="J323" s="109">
        <v>6766</v>
      </c>
      <c r="K323" s="34">
        <f t="shared" si="10"/>
        <v>4032.5359999999996</v>
      </c>
      <c r="L323" t="s">
        <v>4139</v>
      </c>
    </row>
    <row r="324" spans="2:12" x14ac:dyDescent="0.25">
      <c r="B324" s="53" t="s">
        <v>4224</v>
      </c>
      <c r="C324" s="132" t="s">
        <v>4364</v>
      </c>
      <c r="D324" s="7" t="s">
        <v>4133</v>
      </c>
      <c r="E324" s="7" t="s">
        <v>4116</v>
      </c>
      <c r="F324" s="7" t="s">
        <v>4406</v>
      </c>
      <c r="G324" s="7" t="s">
        <v>5004</v>
      </c>
      <c r="H324" t="s">
        <v>4027</v>
      </c>
      <c r="I324" t="s">
        <v>4028</v>
      </c>
      <c r="J324" s="109">
        <v>6766</v>
      </c>
      <c r="K324" s="34">
        <f t="shared" si="10"/>
        <v>4032.5359999999996</v>
      </c>
      <c r="L324" t="s">
        <v>4139</v>
      </c>
    </row>
    <row r="325" spans="2:12" x14ac:dyDescent="0.25">
      <c r="B325" s="53" t="s">
        <v>4225</v>
      </c>
      <c r="C325" s="132" t="s">
        <v>4364</v>
      </c>
      <c r="D325" s="7" t="s">
        <v>4134</v>
      </c>
      <c r="E325" s="7" t="s">
        <v>4116</v>
      </c>
      <c r="F325" s="7" t="s">
        <v>4407</v>
      </c>
      <c r="G325" s="7" t="s">
        <v>5004</v>
      </c>
      <c r="H325" t="s">
        <v>4027</v>
      </c>
      <c r="I325" t="s">
        <v>4028</v>
      </c>
      <c r="J325" s="109">
        <v>6766</v>
      </c>
      <c r="K325" s="34">
        <f t="shared" si="10"/>
        <v>4032.5359999999996</v>
      </c>
      <c r="L325" t="s">
        <v>4139</v>
      </c>
    </row>
    <row r="326" spans="2:12" x14ac:dyDescent="0.25">
      <c r="B326" s="53" t="s">
        <v>4226</v>
      </c>
      <c r="C326" s="132" t="s">
        <v>4364</v>
      </c>
      <c r="D326" s="7" t="s">
        <v>4135</v>
      </c>
      <c r="E326" s="7" t="s">
        <v>4116</v>
      </c>
      <c r="F326" s="7" t="s">
        <v>4408</v>
      </c>
      <c r="G326" s="7" t="s">
        <v>5003</v>
      </c>
      <c r="H326" t="s">
        <v>4027</v>
      </c>
      <c r="I326" t="s">
        <v>4028</v>
      </c>
      <c r="J326" s="109">
        <v>8333</v>
      </c>
      <c r="K326" s="34">
        <f t="shared" si="10"/>
        <v>4966.4679999999998</v>
      </c>
      <c r="L326" t="s">
        <v>4139</v>
      </c>
    </row>
    <row r="327" spans="2:12" x14ac:dyDescent="0.25">
      <c r="B327" s="53" t="s">
        <v>4227</v>
      </c>
      <c r="C327" s="132" t="s">
        <v>4364</v>
      </c>
      <c r="D327" s="7" t="s">
        <v>4136</v>
      </c>
      <c r="E327" s="7" t="s">
        <v>4116</v>
      </c>
      <c r="F327" s="7" t="s">
        <v>4409</v>
      </c>
      <c r="G327" s="7" t="s">
        <v>5003</v>
      </c>
      <c r="H327" t="s">
        <v>4027</v>
      </c>
      <c r="I327" t="s">
        <v>4028</v>
      </c>
      <c r="J327" s="109">
        <v>8333</v>
      </c>
      <c r="K327" s="34">
        <f t="shared" si="10"/>
        <v>4966.4679999999998</v>
      </c>
      <c r="L327" t="s">
        <v>4139</v>
      </c>
    </row>
    <row r="328" spans="2:12" x14ac:dyDescent="0.25">
      <c r="B328" s="53" t="s">
        <v>4228</v>
      </c>
      <c r="C328" s="132" t="s">
        <v>4364</v>
      </c>
      <c r="D328" s="7" t="s">
        <v>4137</v>
      </c>
      <c r="E328" s="7" t="s">
        <v>4116</v>
      </c>
      <c r="F328" s="7" t="s">
        <v>4410</v>
      </c>
      <c r="G328" s="7" t="s">
        <v>5003</v>
      </c>
      <c r="H328" t="s">
        <v>4027</v>
      </c>
      <c r="I328" t="s">
        <v>4028</v>
      </c>
      <c r="J328" s="109">
        <v>8333</v>
      </c>
      <c r="K328" s="34">
        <f t="shared" si="10"/>
        <v>4966.4679999999998</v>
      </c>
      <c r="L328" t="s">
        <v>4139</v>
      </c>
    </row>
    <row r="329" spans="2:12" x14ac:dyDescent="0.25">
      <c r="B329" s="53" t="s">
        <v>4229</v>
      </c>
      <c r="C329" s="132" t="s">
        <v>4364</v>
      </c>
      <c r="D329" s="7" t="s">
        <v>687</v>
      </c>
      <c r="E329" s="7" t="s">
        <v>4116</v>
      </c>
      <c r="F329" s="7" t="s">
        <v>4411</v>
      </c>
      <c r="G329" s="7" t="s">
        <v>5003</v>
      </c>
      <c r="H329" t="s">
        <v>4027</v>
      </c>
      <c r="I329" t="s">
        <v>4028</v>
      </c>
      <c r="J329" s="109">
        <v>8333</v>
      </c>
      <c r="K329" s="34">
        <f t="shared" si="10"/>
        <v>4966.4679999999998</v>
      </c>
      <c r="L329" t="s">
        <v>4139</v>
      </c>
    </row>
    <row r="330" spans="2:12" x14ac:dyDescent="0.25">
      <c r="B330" s="53" t="s">
        <v>4230</v>
      </c>
      <c r="C330" s="132" t="s">
        <v>4365</v>
      </c>
      <c r="D330" s="7" t="s">
        <v>124</v>
      </c>
      <c r="E330" s="7" t="s">
        <v>4116</v>
      </c>
      <c r="F330" s="2" t="s">
        <v>4368</v>
      </c>
      <c r="G330" s="7" t="s">
        <v>5004</v>
      </c>
      <c r="H330" t="s">
        <v>4027</v>
      </c>
      <c r="I330" t="s">
        <v>4028</v>
      </c>
      <c r="J330" s="109">
        <v>6503</v>
      </c>
      <c r="K330" s="34">
        <f t="shared" si="10"/>
        <v>3875.788</v>
      </c>
      <c r="L330" t="s">
        <v>4139</v>
      </c>
    </row>
    <row r="331" spans="2:12" x14ac:dyDescent="0.25">
      <c r="B331" s="53" t="s">
        <v>4231</v>
      </c>
      <c r="C331" s="132" t="s">
        <v>4365</v>
      </c>
      <c r="D331" s="7" t="s">
        <v>125</v>
      </c>
      <c r="E331" s="7" t="s">
        <v>4116</v>
      </c>
      <c r="F331" s="7" t="s">
        <v>4369</v>
      </c>
      <c r="G331" s="7" t="s">
        <v>5004</v>
      </c>
      <c r="H331" t="s">
        <v>4027</v>
      </c>
      <c r="I331" t="s">
        <v>4028</v>
      </c>
      <c r="J331" s="109">
        <v>6503</v>
      </c>
      <c r="K331" s="34">
        <f t="shared" si="10"/>
        <v>3875.788</v>
      </c>
      <c r="L331" t="s">
        <v>4139</v>
      </c>
    </row>
    <row r="332" spans="2:12" x14ac:dyDescent="0.25">
      <c r="B332" s="53" t="s">
        <v>4232</v>
      </c>
      <c r="C332" s="132" t="s">
        <v>4365</v>
      </c>
      <c r="D332" s="7" t="s">
        <v>126</v>
      </c>
      <c r="E332" s="7" t="s">
        <v>4116</v>
      </c>
      <c r="F332" s="7" t="s">
        <v>4370</v>
      </c>
      <c r="G332" s="7" t="s">
        <v>5004</v>
      </c>
      <c r="H332" t="s">
        <v>4027</v>
      </c>
      <c r="I332" t="s">
        <v>4028</v>
      </c>
      <c r="J332" s="109">
        <v>6503</v>
      </c>
      <c r="K332" s="34">
        <f t="shared" si="10"/>
        <v>3875.788</v>
      </c>
      <c r="L332" t="s">
        <v>4139</v>
      </c>
    </row>
    <row r="333" spans="2:12" x14ac:dyDescent="0.25">
      <c r="B333" s="53" t="s">
        <v>4233</v>
      </c>
      <c r="C333" s="132" t="s">
        <v>4365</v>
      </c>
      <c r="D333" s="7" t="s">
        <v>127</v>
      </c>
      <c r="E333" s="7" t="s">
        <v>4116</v>
      </c>
      <c r="F333" s="7" t="s">
        <v>4371</v>
      </c>
      <c r="G333" s="7" t="s">
        <v>5004</v>
      </c>
      <c r="H333" t="s">
        <v>4027</v>
      </c>
      <c r="I333" t="s">
        <v>4028</v>
      </c>
      <c r="J333" s="109">
        <v>6766</v>
      </c>
      <c r="K333" s="34">
        <f t="shared" si="10"/>
        <v>4032.5359999999996</v>
      </c>
      <c r="L333" t="s">
        <v>4139</v>
      </c>
    </row>
    <row r="334" spans="2:12" x14ac:dyDescent="0.25">
      <c r="B334" s="53" t="s">
        <v>4234</v>
      </c>
      <c r="C334" s="132" t="s">
        <v>4365</v>
      </c>
      <c r="D334" s="7" t="s">
        <v>128</v>
      </c>
      <c r="E334" s="7" t="s">
        <v>4116</v>
      </c>
      <c r="F334" s="7" t="s">
        <v>4372</v>
      </c>
      <c r="G334" s="7" t="s">
        <v>5004</v>
      </c>
      <c r="H334" t="s">
        <v>4027</v>
      </c>
      <c r="I334" t="s">
        <v>4028</v>
      </c>
      <c r="J334" s="109">
        <v>6766</v>
      </c>
      <c r="K334" s="34">
        <f t="shared" si="10"/>
        <v>4032.5359999999996</v>
      </c>
      <c r="L334" t="s">
        <v>4139</v>
      </c>
    </row>
    <row r="335" spans="2:12" x14ac:dyDescent="0.25">
      <c r="B335" s="53" t="s">
        <v>4235</v>
      </c>
      <c r="C335" s="132" t="s">
        <v>4365</v>
      </c>
      <c r="D335" s="7" t="s">
        <v>129</v>
      </c>
      <c r="E335" s="7" t="s">
        <v>4116</v>
      </c>
      <c r="F335" s="7" t="s">
        <v>4373</v>
      </c>
      <c r="G335" s="7" t="s">
        <v>5004</v>
      </c>
      <c r="H335" t="s">
        <v>4027</v>
      </c>
      <c r="I335" t="s">
        <v>4028</v>
      </c>
      <c r="J335" s="109">
        <v>6766</v>
      </c>
      <c r="K335" s="34">
        <f t="shared" si="10"/>
        <v>4032.5359999999996</v>
      </c>
      <c r="L335" t="s">
        <v>4139</v>
      </c>
    </row>
    <row r="336" spans="2:12" x14ac:dyDescent="0.25">
      <c r="B336" s="53" t="s">
        <v>4236</v>
      </c>
      <c r="C336" s="132" t="s">
        <v>4365</v>
      </c>
      <c r="D336" s="7" t="s">
        <v>130</v>
      </c>
      <c r="E336" s="7" t="s">
        <v>4116</v>
      </c>
      <c r="F336" s="7" t="s">
        <v>4374</v>
      </c>
      <c r="G336" s="7" t="s">
        <v>5004</v>
      </c>
      <c r="H336" t="s">
        <v>4027</v>
      </c>
      <c r="I336" t="s">
        <v>4028</v>
      </c>
      <c r="J336" s="109">
        <v>6766</v>
      </c>
      <c r="K336" s="34">
        <f t="shared" si="10"/>
        <v>4032.5359999999996</v>
      </c>
      <c r="L336" t="s">
        <v>4139</v>
      </c>
    </row>
    <row r="337" spans="2:12" x14ac:dyDescent="0.25">
      <c r="B337" s="53" t="s">
        <v>4237</v>
      </c>
      <c r="C337" s="132" t="s">
        <v>4365</v>
      </c>
      <c r="D337" s="7" t="s">
        <v>142</v>
      </c>
      <c r="E337" s="7" t="s">
        <v>4116</v>
      </c>
      <c r="F337" s="7" t="s">
        <v>4375</v>
      </c>
      <c r="G337" s="7" t="s">
        <v>5003</v>
      </c>
      <c r="H337" t="s">
        <v>4027</v>
      </c>
      <c r="I337" t="s">
        <v>4028</v>
      </c>
      <c r="J337" s="109">
        <v>8333</v>
      </c>
      <c r="K337" s="34">
        <f t="shared" si="10"/>
        <v>4966.4679999999998</v>
      </c>
      <c r="L337" t="s">
        <v>4139</v>
      </c>
    </row>
    <row r="338" spans="2:12" x14ac:dyDescent="0.25">
      <c r="B338" s="53" t="s">
        <v>4238</v>
      </c>
      <c r="C338" s="132" t="s">
        <v>4365</v>
      </c>
      <c r="D338" s="7" t="s">
        <v>143</v>
      </c>
      <c r="E338" s="7" t="s">
        <v>4116</v>
      </c>
      <c r="F338" s="7" t="s">
        <v>4376</v>
      </c>
      <c r="G338" s="7" t="s">
        <v>5003</v>
      </c>
      <c r="H338" t="s">
        <v>4027</v>
      </c>
      <c r="I338" t="s">
        <v>4028</v>
      </c>
      <c r="J338" s="109">
        <v>8333</v>
      </c>
      <c r="K338" s="34">
        <f t="shared" si="10"/>
        <v>4966.4679999999998</v>
      </c>
      <c r="L338" t="s">
        <v>4139</v>
      </c>
    </row>
    <row r="339" spans="2:12" x14ac:dyDescent="0.25">
      <c r="B339" s="53" t="s">
        <v>4239</v>
      </c>
      <c r="C339" s="132" t="s">
        <v>4365</v>
      </c>
      <c r="D339" s="7" t="s">
        <v>144</v>
      </c>
      <c r="E339" s="7" t="s">
        <v>4116</v>
      </c>
      <c r="F339" s="7" t="s">
        <v>4377</v>
      </c>
      <c r="G339" s="7" t="s">
        <v>5003</v>
      </c>
      <c r="H339" t="s">
        <v>4027</v>
      </c>
      <c r="I339" t="s">
        <v>4028</v>
      </c>
      <c r="J339" s="109">
        <v>8333</v>
      </c>
      <c r="K339" s="34">
        <f t="shared" si="10"/>
        <v>4966.4679999999998</v>
      </c>
      <c r="L339" t="s">
        <v>4139</v>
      </c>
    </row>
    <row r="340" spans="2:12" x14ac:dyDescent="0.25">
      <c r="B340" s="53" t="s">
        <v>4240</v>
      </c>
      <c r="C340" s="132" t="s">
        <v>4365</v>
      </c>
      <c r="D340" s="7" t="s">
        <v>145</v>
      </c>
      <c r="E340" s="7" t="s">
        <v>4116</v>
      </c>
      <c r="F340" s="7" t="s">
        <v>4378</v>
      </c>
      <c r="G340" s="7" t="s">
        <v>5003</v>
      </c>
      <c r="H340" t="s">
        <v>4027</v>
      </c>
      <c r="I340" t="s">
        <v>4028</v>
      </c>
      <c r="J340" s="109">
        <v>8333</v>
      </c>
      <c r="K340" s="34">
        <f t="shared" si="10"/>
        <v>4966.4679999999998</v>
      </c>
      <c r="L340" t="s">
        <v>4139</v>
      </c>
    </row>
    <row r="341" spans="2:12" x14ac:dyDescent="0.25">
      <c r="B341" s="53" t="s">
        <v>4241</v>
      </c>
      <c r="C341" s="132" t="s">
        <v>4365</v>
      </c>
      <c r="D341" s="7" t="s">
        <v>131</v>
      </c>
      <c r="E341" s="7" t="s">
        <v>4116</v>
      </c>
      <c r="F341" s="7" t="s">
        <v>4379</v>
      </c>
      <c r="G341" s="7" t="s">
        <v>5004</v>
      </c>
      <c r="H341" t="s">
        <v>4027</v>
      </c>
      <c r="I341" t="s">
        <v>4028</v>
      </c>
      <c r="J341" s="109">
        <v>6503</v>
      </c>
      <c r="K341" s="34">
        <f t="shared" si="10"/>
        <v>3875.788</v>
      </c>
      <c r="L341" t="s">
        <v>4139</v>
      </c>
    </row>
    <row r="342" spans="2:12" x14ac:dyDescent="0.25">
      <c r="B342" s="53" t="s">
        <v>4242</v>
      </c>
      <c r="C342" s="132" t="s">
        <v>4365</v>
      </c>
      <c r="D342" s="7" t="s">
        <v>132</v>
      </c>
      <c r="E342" s="7" t="s">
        <v>4116</v>
      </c>
      <c r="F342" s="7" t="s">
        <v>4380</v>
      </c>
      <c r="G342" s="7" t="s">
        <v>5004</v>
      </c>
      <c r="H342" t="s">
        <v>4027</v>
      </c>
      <c r="I342" t="s">
        <v>4028</v>
      </c>
      <c r="J342" s="109">
        <v>6503</v>
      </c>
      <c r="K342" s="34">
        <f t="shared" si="10"/>
        <v>3875.788</v>
      </c>
      <c r="L342" t="s">
        <v>4139</v>
      </c>
    </row>
    <row r="343" spans="2:12" x14ac:dyDescent="0.25">
      <c r="B343" s="53" t="s">
        <v>4243</v>
      </c>
      <c r="C343" s="132" t="s">
        <v>4365</v>
      </c>
      <c r="D343" s="7" t="s">
        <v>133</v>
      </c>
      <c r="E343" s="7" t="s">
        <v>4116</v>
      </c>
      <c r="F343" s="7" t="s">
        <v>4381</v>
      </c>
      <c r="G343" s="7" t="s">
        <v>5004</v>
      </c>
      <c r="H343" t="s">
        <v>4027</v>
      </c>
      <c r="I343" t="s">
        <v>4028</v>
      </c>
      <c r="J343" s="109">
        <v>6503</v>
      </c>
      <c r="K343" s="34">
        <f t="shared" si="10"/>
        <v>3875.788</v>
      </c>
      <c r="L343" t="s">
        <v>4139</v>
      </c>
    </row>
    <row r="344" spans="2:12" x14ac:dyDescent="0.25">
      <c r="B344" s="53" t="s">
        <v>4244</v>
      </c>
      <c r="C344" s="132" t="s">
        <v>4365</v>
      </c>
      <c r="D344" s="7" t="s">
        <v>134</v>
      </c>
      <c r="E344" s="7" t="s">
        <v>4116</v>
      </c>
      <c r="F344" s="7" t="s">
        <v>4382</v>
      </c>
      <c r="G344" s="7" t="s">
        <v>5004</v>
      </c>
      <c r="H344" t="s">
        <v>4027</v>
      </c>
      <c r="I344" t="s">
        <v>4028</v>
      </c>
      <c r="J344" s="109">
        <v>6766</v>
      </c>
      <c r="K344" s="34">
        <f t="shared" si="10"/>
        <v>4032.5359999999996</v>
      </c>
      <c r="L344" t="s">
        <v>4139</v>
      </c>
    </row>
    <row r="345" spans="2:12" x14ac:dyDescent="0.25">
      <c r="B345" s="53" t="s">
        <v>4245</v>
      </c>
      <c r="C345" s="132" t="s">
        <v>4365</v>
      </c>
      <c r="D345" s="7" t="s">
        <v>135</v>
      </c>
      <c r="E345" s="7" t="s">
        <v>4116</v>
      </c>
      <c r="F345" s="7" t="s">
        <v>4383</v>
      </c>
      <c r="G345" s="7" t="s">
        <v>5004</v>
      </c>
      <c r="H345" t="s">
        <v>4027</v>
      </c>
      <c r="I345" t="s">
        <v>4028</v>
      </c>
      <c r="J345" s="109">
        <v>6766</v>
      </c>
      <c r="K345" s="34">
        <f t="shared" si="10"/>
        <v>4032.5359999999996</v>
      </c>
      <c r="L345" t="s">
        <v>4139</v>
      </c>
    </row>
    <row r="346" spans="2:12" x14ac:dyDescent="0.25">
      <c r="B346" s="53" t="s">
        <v>4246</v>
      </c>
      <c r="C346" s="132" t="s">
        <v>4365</v>
      </c>
      <c r="D346" s="7" t="s">
        <v>136</v>
      </c>
      <c r="E346" s="7" t="s">
        <v>4116</v>
      </c>
      <c r="F346" s="7" t="s">
        <v>4384</v>
      </c>
      <c r="G346" s="7" t="s">
        <v>5004</v>
      </c>
      <c r="H346" t="s">
        <v>4027</v>
      </c>
      <c r="I346" t="s">
        <v>4028</v>
      </c>
      <c r="J346" s="109">
        <v>6766</v>
      </c>
      <c r="K346" s="34">
        <f t="shared" si="10"/>
        <v>4032.5359999999996</v>
      </c>
      <c r="L346" t="s">
        <v>4139</v>
      </c>
    </row>
    <row r="347" spans="2:12" x14ac:dyDescent="0.25">
      <c r="B347" s="53" t="s">
        <v>4247</v>
      </c>
      <c r="C347" s="132" t="s">
        <v>4365</v>
      </c>
      <c r="D347" s="7" t="s">
        <v>137</v>
      </c>
      <c r="E347" s="7" t="s">
        <v>4116</v>
      </c>
      <c r="F347" s="7" t="s">
        <v>4385</v>
      </c>
      <c r="G347" s="7" t="s">
        <v>5004</v>
      </c>
      <c r="H347" t="s">
        <v>4027</v>
      </c>
      <c r="I347" t="s">
        <v>4028</v>
      </c>
      <c r="J347" s="109">
        <v>6766</v>
      </c>
      <c r="K347" s="34">
        <f t="shared" si="10"/>
        <v>4032.5359999999996</v>
      </c>
      <c r="L347" t="s">
        <v>4139</v>
      </c>
    </row>
    <row r="348" spans="2:12" x14ac:dyDescent="0.25">
      <c r="B348" s="53" t="s">
        <v>4248</v>
      </c>
      <c r="C348" s="132" t="s">
        <v>4365</v>
      </c>
      <c r="D348" s="7" t="s">
        <v>146</v>
      </c>
      <c r="E348" s="7" t="s">
        <v>4116</v>
      </c>
      <c r="F348" s="7" t="s">
        <v>4386</v>
      </c>
      <c r="G348" s="7" t="s">
        <v>5003</v>
      </c>
      <c r="H348" t="s">
        <v>4027</v>
      </c>
      <c r="I348" t="s">
        <v>4028</v>
      </c>
      <c r="J348" s="109">
        <v>8333</v>
      </c>
      <c r="K348" s="34">
        <f t="shared" si="10"/>
        <v>4966.4679999999998</v>
      </c>
      <c r="L348" t="s">
        <v>4139</v>
      </c>
    </row>
    <row r="349" spans="2:12" x14ac:dyDescent="0.25">
      <c r="B349" s="53" t="s">
        <v>4249</v>
      </c>
      <c r="C349" s="132" t="s">
        <v>4365</v>
      </c>
      <c r="D349" s="7" t="s">
        <v>156</v>
      </c>
      <c r="E349" s="7" t="s">
        <v>4116</v>
      </c>
      <c r="F349" s="7" t="s">
        <v>4387</v>
      </c>
      <c r="G349" s="7" t="s">
        <v>5003</v>
      </c>
      <c r="H349" t="s">
        <v>4027</v>
      </c>
      <c r="I349" t="s">
        <v>4028</v>
      </c>
      <c r="J349" s="109">
        <v>8333</v>
      </c>
      <c r="K349" s="34">
        <f t="shared" si="10"/>
        <v>4966.4679999999998</v>
      </c>
      <c r="L349" t="s">
        <v>4139</v>
      </c>
    </row>
    <row r="350" spans="2:12" x14ac:dyDescent="0.25">
      <c r="B350" s="53" t="s">
        <v>4250</v>
      </c>
      <c r="C350" s="132" t="s">
        <v>4365</v>
      </c>
      <c r="D350" s="7" t="s">
        <v>148</v>
      </c>
      <c r="E350" s="7" t="s">
        <v>4116</v>
      </c>
      <c r="F350" s="7" t="s">
        <v>4388</v>
      </c>
      <c r="G350" s="7" t="s">
        <v>5003</v>
      </c>
      <c r="H350" t="s">
        <v>4027</v>
      </c>
      <c r="I350" t="s">
        <v>4028</v>
      </c>
      <c r="J350" s="109">
        <v>8333</v>
      </c>
      <c r="K350" s="34">
        <f t="shared" si="10"/>
        <v>4966.4679999999998</v>
      </c>
      <c r="L350" t="s">
        <v>4139</v>
      </c>
    </row>
    <row r="351" spans="2:12" x14ac:dyDescent="0.25">
      <c r="B351" s="53" t="s">
        <v>4251</v>
      </c>
      <c r="C351" s="132" t="s">
        <v>4365</v>
      </c>
      <c r="D351" s="7" t="s">
        <v>149</v>
      </c>
      <c r="E351" s="7" t="s">
        <v>4116</v>
      </c>
      <c r="F351" s="7" t="s">
        <v>4389</v>
      </c>
      <c r="G351" s="7" t="s">
        <v>5003</v>
      </c>
      <c r="H351" t="s">
        <v>4027</v>
      </c>
      <c r="I351" t="s">
        <v>4028</v>
      </c>
      <c r="J351" s="109">
        <v>8333</v>
      </c>
      <c r="K351" s="34">
        <f t="shared" si="10"/>
        <v>4966.4679999999998</v>
      </c>
      <c r="L351" t="s">
        <v>4139</v>
      </c>
    </row>
    <row r="352" spans="2:12" x14ac:dyDescent="0.25">
      <c r="B352" s="53" t="s">
        <v>4252</v>
      </c>
      <c r="C352" s="132" t="s">
        <v>4365</v>
      </c>
      <c r="D352" s="7" t="s">
        <v>4118</v>
      </c>
      <c r="E352" s="7" t="s">
        <v>4116</v>
      </c>
      <c r="F352" s="7" t="s">
        <v>4390</v>
      </c>
      <c r="G352" s="7" t="s">
        <v>5004</v>
      </c>
      <c r="H352" t="s">
        <v>4027</v>
      </c>
      <c r="I352" t="s">
        <v>4028</v>
      </c>
      <c r="J352" s="109">
        <v>6503</v>
      </c>
      <c r="K352" s="34">
        <f t="shared" si="10"/>
        <v>3875.788</v>
      </c>
      <c r="L352" t="s">
        <v>4139</v>
      </c>
    </row>
    <row r="353" spans="2:12" x14ac:dyDescent="0.25">
      <c r="B353" s="53" t="s">
        <v>4253</v>
      </c>
      <c r="C353" s="132" t="s">
        <v>4365</v>
      </c>
      <c r="D353" s="7" t="s">
        <v>4119</v>
      </c>
      <c r="E353" s="7" t="s">
        <v>4116</v>
      </c>
      <c r="F353" s="7" t="s">
        <v>4391</v>
      </c>
      <c r="G353" s="7" t="s">
        <v>5004</v>
      </c>
      <c r="H353" t="s">
        <v>4027</v>
      </c>
      <c r="I353" t="s">
        <v>4028</v>
      </c>
      <c r="J353" s="109">
        <v>6503</v>
      </c>
      <c r="K353" s="34">
        <f t="shared" si="10"/>
        <v>3875.788</v>
      </c>
      <c r="L353" t="s">
        <v>4139</v>
      </c>
    </row>
    <row r="354" spans="2:12" x14ac:dyDescent="0.25">
      <c r="B354" s="53" t="s">
        <v>4254</v>
      </c>
      <c r="C354" s="132" t="s">
        <v>4365</v>
      </c>
      <c r="D354" s="7" t="s">
        <v>4120</v>
      </c>
      <c r="E354" s="7" t="s">
        <v>4116</v>
      </c>
      <c r="F354" s="7" t="s">
        <v>4392</v>
      </c>
      <c r="G354" s="7" t="s">
        <v>5004</v>
      </c>
      <c r="H354" t="s">
        <v>4027</v>
      </c>
      <c r="I354" t="s">
        <v>4028</v>
      </c>
      <c r="J354" s="109">
        <v>6503</v>
      </c>
      <c r="K354" s="34">
        <f t="shared" si="10"/>
        <v>3875.788</v>
      </c>
      <c r="L354" t="s">
        <v>4139</v>
      </c>
    </row>
    <row r="355" spans="2:12" x14ac:dyDescent="0.25">
      <c r="B355" s="53" t="s">
        <v>4255</v>
      </c>
      <c r="C355" s="132" t="s">
        <v>4365</v>
      </c>
      <c r="D355" s="7" t="s">
        <v>4121</v>
      </c>
      <c r="E355" s="7" t="s">
        <v>4116</v>
      </c>
      <c r="F355" s="7" t="s">
        <v>4393</v>
      </c>
      <c r="G355" s="7" t="s">
        <v>5004</v>
      </c>
      <c r="H355" t="s">
        <v>4027</v>
      </c>
      <c r="I355" t="s">
        <v>4028</v>
      </c>
      <c r="J355" s="109">
        <v>6766</v>
      </c>
      <c r="K355" s="34">
        <f t="shared" si="10"/>
        <v>4032.5359999999996</v>
      </c>
      <c r="L355" t="s">
        <v>4139</v>
      </c>
    </row>
    <row r="356" spans="2:12" x14ac:dyDescent="0.25">
      <c r="B356" s="53" t="s">
        <v>4256</v>
      </c>
      <c r="C356" s="132" t="s">
        <v>4365</v>
      </c>
      <c r="D356" s="7" t="s">
        <v>4122</v>
      </c>
      <c r="E356" s="7" t="s">
        <v>4116</v>
      </c>
      <c r="F356" s="7" t="s">
        <v>4394</v>
      </c>
      <c r="G356" s="7" t="s">
        <v>5004</v>
      </c>
      <c r="H356" t="s">
        <v>4027</v>
      </c>
      <c r="I356" t="s">
        <v>4028</v>
      </c>
      <c r="J356" s="109">
        <v>6766</v>
      </c>
      <c r="K356" s="34">
        <f t="shared" si="10"/>
        <v>4032.5359999999996</v>
      </c>
      <c r="L356" t="s">
        <v>4139</v>
      </c>
    </row>
    <row r="357" spans="2:12" x14ac:dyDescent="0.25">
      <c r="B357" s="53" t="s">
        <v>4257</v>
      </c>
      <c r="C357" s="132" t="s">
        <v>4365</v>
      </c>
      <c r="D357" s="7" t="s">
        <v>4123</v>
      </c>
      <c r="E357" s="7" t="s">
        <v>4116</v>
      </c>
      <c r="F357" s="7" t="s">
        <v>4395</v>
      </c>
      <c r="G357" s="7" t="s">
        <v>5004</v>
      </c>
      <c r="H357" t="s">
        <v>4027</v>
      </c>
      <c r="I357" t="s">
        <v>4028</v>
      </c>
      <c r="J357" s="109">
        <v>6766</v>
      </c>
      <c r="K357" s="34">
        <f t="shared" si="10"/>
        <v>4032.5359999999996</v>
      </c>
      <c r="L357" t="s">
        <v>4139</v>
      </c>
    </row>
    <row r="358" spans="2:12" x14ac:dyDescent="0.25">
      <c r="B358" s="53" t="s">
        <v>4258</v>
      </c>
      <c r="C358" s="132" t="s">
        <v>4365</v>
      </c>
      <c r="D358" s="7" t="s">
        <v>4124</v>
      </c>
      <c r="E358" s="7" t="s">
        <v>4116</v>
      </c>
      <c r="F358" s="7" t="s">
        <v>4396</v>
      </c>
      <c r="G358" s="7" t="s">
        <v>5004</v>
      </c>
      <c r="H358" t="s">
        <v>4027</v>
      </c>
      <c r="I358" t="s">
        <v>4028</v>
      </c>
      <c r="J358" s="109">
        <v>6766</v>
      </c>
      <c r="K358" s="34">
        <f t="shared" si="10"/>
        <v>4032.5359999999996</v>
      </c>
      <c r="L358" t="s">
        <v>4139</v>
      </c>
    </row>
    <row r="359" spans="2:12" x14ac:dyDescent="0.25">
      <c r="B359" s="53" t="s">
        <v>4259</v>
      </c>
      <c r="C359" s="132" t="s">
        <v>4365</v>
      </c>
      <c r="D359" s="7" t="s">
        <v>4125</v>
      </c>
      <c r="E359" s="7" t="s">
        <v>4116</v>
      </c>
      <c r="F359" s="7" t="s">
        <v>4397</v>
      </c>
      <c r="G359" s="7" t="s">
        <v>5003</v>
      </c>
      <c r="H359" t="s">
        <v>4027</v>
      </c>
      <c r="I359" t="s">
        <v>4028</v>
      </c>
      <c r="J359" s="109">
        <v>8333</v>
      </c>
      <c r="K359" s="34">
        <f t="shared" si="10"/>
        <v>4966.4679999999998</v>
      </c>
      <c r="L359" t="s">
        <v>4139</v>
      </c>
    </row>
    <row r="360" spans="2:12" x14ac:dyDescent="0.25">
      <c r="B360" s="53" t="s">
        <v>4260</v>
      </c>
      <c r="C360" s="132" t="s">
        <v>4365</v>
      </c>
      <c r="D360" s="7" t="s">
        <v>4126</v>
      </c>
      <c r="E360" s="7" t="s">
        <v>4116</v>
      </c>
      <c r="F360" s="7" t="s">
        <v>4398</v>
      </c>
      <c r="G360" s="7" t="s">
        <v>5003</v>
      </c>
      <c r="H360" t="s">
        <v>4027</v>
      </c>
      <c r="I360" t="s">
        <v>4028</v>
      </c>
      <c r="J360" s="109">
        <v>8333</v>
      </c>
      <c r="K360" s="34">
        <f t="shared" si="10"/>
        <v>4966.4679999999998</v>
      </c>
      <c r="L360" t="s">
        <v>4139</v>
      </c>
    </row>
    <row r="361" spans="2:12" x14ac:dyDescent="0.25">
      <c r="B361" s="53" t="s">
        <v>4261</v>
      </c>
      <c r="C361" s="132" t="s">
        <v>4365</v>
      </c>
      <c r="D361" s="7" t="s">
        <v>4127</v>
      </c>
      <c r="E361" s="7" t="s">
        <v>4116</v>
      </c>
      <c r="F361" s="7" t="s">
        <v>4399</v>
      </c>
      <c r="G361" s="7" t="s">
        <v>5003</v>
      </c>
      <c r="H361" t="s">
        <v>4027</v>
      </c>
      <c r="I361" t="s">
        <v>4028</v>
      </c>
      <c r="J361" s="109">
        <v>8333</v>
      </c>
      <c r="K361" s="34">
        <f t="shared" si="10"/>
        <v>4966.4679999999998</v>
      </c>
      <c r="L361" t="s">
        <v>4139</v>
      </c>
    </row>
    <row r="362" spans="2:12" x14ac:dyDescent="0.25">
      <c r="B362" s="53" t="s">
        <v>4262</v>
      </c>
      <c r="C362" s="132" t="s">
        <v>4365</v>
      </c>
      <c r="D362" s="7" t="s">
        <v>674</v>
      </c>
      <c r="E362" s="7" t="s">
        <v>4116</v>
      </c>
      <c r="F362" s="7" t="s">
        <v>4400</v>
      </c>
      <c r="G362" s="7" t="s">
        <v>5003</v>
      </c>
      <c r="H362" t="s">
        <v>4027</v>
      </c>
      <c r="I362" t="s">
        <v>4028</v>
      </c>
      <c r="J362" s="109">
        <v>8333</v>
      </c>
      <c r="K362" s="34">
        <f t="shared" si="10"/>
        <v>4966.4679999999998</v>
      </c>
      <c r="L362" t="s">
        <v>4139</v>
      </c>
    </row>
    <row r="363" spans="2:12" x14ac:dyDescent="0.25">
      <c r="B363" s="53" t="s">
        <v>4263</v>
      </c>
      <c r="C363" s="132" t="s">
        <v>4365</v>
      </c>
      <c r="D363" s="7" t="s">
        <v>4128</v>
      </c>
      <c r="E363" s="7" t="s">
        <v>4116</v>
      </c>
      <c r="F363" s="7" t="s">
        <v>4401</v>
      </c>
      <c r="G363" s="7" t="s">
        <v>5004</v>
      </c>
      <c r="H363" t="s">
        <v>4027</v>
      </c>
      <c r="I363" t="s">
        <v>4028</v>
      </c>
      <c r="J363" s="109">
        <v>6503</v>
      </c>
      <c r="K363" s="34">
        <f t="shared" si="10"/>
        <v>3875.788</v>
      </c>
      <c r="L363" t="s">
        <v>4139</v>
      </c>
    </row>
    <row r="364" spans="2:12" x14ac:dyDescent="0.25">
      <c r="B364" s="53" t="s">
        <v>4264</v>
      </c>
      <c r="C364" s="132" t="s">
        <v>4365</v>
      </c>
      <c r="D364" s="7" t="s">
        <v>4129</v>
      </c>
      <c r="E364" s="7" t="s">
        <v>4116</v>
      </c>
      <c r="F364" s="7" t="s">
        <v>4402</v>
      </c>
      <c r="G364" s="7" t="s">
        <v>5004</v>
      </c>
      <c r="H364" t="s">
        <v>4027</v>
      </c>
      <c r="I364" t="s">
        <v>4028</v>
      </c>
      <c r="J364" s="109">
        <v>6503</v>
      </c>
      <c r="K364" s="34">
        <f t="shared" si="10"/>
        <v>3875.788</v>
      </c>
      <c r="L364" t="s">
        <v>4139</v>
      </c>
    </row>
    <row r="365" spans="2:12" x14ac:dyDescent="0.25">
      <c r="B365" s="53" t="s">
        <v>4265</v>
      </c>
      <c r="C365" s="132" t="s">
        <v>4365</v>
      </c>
      <c r="D365" s="7" t="s">
        <v>4130</v>
      </c>
      <c r="E365" s="7" t="s">
        <v>4116</v>
      </c>
      <c r="F365" s="7" t="s">
        <v>4403</v>
      </c>
      <c r="G365" s="7" t="s">
        <v>5004</v>
      </c>
      <c r="H365" t="s">
        <v>4027</v>
      </c>
      <c r="I365" t="s">
        <v>4028</v>
      </c>
      <c r="J365" s="109">
        <v>6503</v>
      </c>
      <c r="K365" s="34">
        <f t="shared" si="10"/>
        <v>3875.788</v>
      </c>
      <c r="L365" t="s">
        <v>4139</v>
      </c>
    </row>
    <row r="366" spans="2:12" x14ac:dyDescent="0.25">
      <c r="B366" s="53" t="s">
        <v>4266</v>
      </c>
      <c r="C366" s="132" t="s">
        <v>4365</v>
      </c>
      <c r="D366" s="7" t="s">
        <v>4131</v>
      </c>
      <c r="E366" s="7" t="s">
        <v>4116</v>
      </c>
      <c r="F366" s="7" t="s">
        <v>4404</v>
      </c>
      <c r="G366" s="7" t="s">
        <v>5004</v>
      </c>
      <c r="H366" t="s">
        <v>4027</v>
      </c>
      <c r="I366" t="s">
        <v>4028</v>
      </c>
      <c r="J366" s="109">
        <v>6766</v>
      </c>
      <c r="K366" s="34">
        <f t="shared" si="10"/>
        <v>4032.5359999999996</v>
      </c>
      <c r="L366" t="s">
        <v>4139</v>
      </c>
    </row>
    <row r="367" spans="2:12" x14ac:dyDescent="0.25">
      <c r="B367" s="53" t="s">
        <v>4267</v>
      </c>
      <c r="C367" s="132" t="s">
        <v>4365</v>
      </c>
      <c r="D367" s="7" t="s">
        <v>4132</v>
      </c>
      <c r="E367" s="7" t="s">
        <v>4116</v>
      </c>
      <c r="F367" s="7" t="s">
        <v>4405</v>
      </c>
      <c r="G367" s="7" t="s">
        <v>5004</v>
      </c>
      <c r="H367" t="s">
        <v>4027</v>
      </c>
      <c r="I367" t="s">
        <v>4028</v>
      </c>
      <c r="J367" s="109">
        <v>6766</v>
      </c>
      <c r="K367" s="34">
        <f t="shared" si="10"/>
        <v>4032.5359999999996</v>
      </c>
      <c r="L367" t="s">
        <v>4139</v>
      </c>
    </row>
    <row r="368" spans="2:12" x14ac:dyDescent="0.25">
      <c r="B368" s="53" t="s">
        <v>4268</v>
      </c>
      <c r="C368" s="132" t="s">
        <v>4365</v>
      </c>
      <c r="D368" s="7" t="s">
        <v>4133</v>
      </c>
      <c r="E368" s="7" t="s">
        <v>4116</v>
      </c>
      <c r="F368" s="7" t="s">
        <v>4406</v>
      </c>
      <c r="G368" s="7" t="s">
        <v>5004</v>
      </c>
      <c r="H368" t="s">
        <v>4027</v>
      </c>
      <c r="I368" t="s">
        <v>4028</v>
      </c>
      <c r="J368" s="109">
        <v>6766</v>
      </c>
      <c r="K368" s="34">
        <f t="shared" si="10"/>
        <v>4032.5359999999996</v>
      </c>
      <c r="L368" t="s">
        <v>4139</v>
      </c>
    </row>
    <row r="369" spans="1:12" x14ac:dyDescent="0.25">
      <c r="B369" s="53" t="s">
        <v>4269</v>
      </c>
      <c r="C369" s="132" t="s">
        <v>4365</v>
      </c>
      <c r="D369" s="7" t="s">
        <v>4134</v>
      </c>
      <c r="E369" s="7" t="s">
        <v>4116</v>
      </c>
      <c r="F369" s="7" t="s">
        <v>4407</v>
      </c>
      <c r="G369" s="7" t="s">
        <v>5004</v>
      </c>
      <c r="H369" t="s">
        <v>4027</v>
      </c>
      <c r="I369" t="s">
        <v>4028</v>
      </c>
      <c r="J369" s="109">
        <v>6766</v>
      </c>
      <c r="K369" s="34">
        <f t="shared" si="10"/>
        <v>4032.5359999999996</v>
      </c>
      <c r="L369" t="s">
        <v>4139</v>
      </c>
    </row>
    <row r="370" spans="1:12" x14ac:dyDescent="0.25">
      <c r="B370" s="53" t="s">
        <v>4270</v>
      </c>
      <c r="C370" s="132" t="s">
        <v>4365</v>
      </c>
      <c r="D370" s="7" t="s">
        <v>4135</v>
      </c>
      <c r="E370" s="7" t="s">
        <v>4116</v>
      </c>
      <c r="F370" s="7" t="s">
        <v>4408</v>
      </c>
      <c r="G370" s="7" t="s">
        <v>5003</v>
      </c>
      <c r="H370" t="s">
        <v>4027</v>
      </c>
      <c r="I370" t="s">
        <v>4028</v>
      </c>
      <c r="J370" s="109">
        <v>8333</v>
      </c>
      <c r="K370" s="34">
        <f t="shared" si="10"/>
        <v>4966.4679999999998</v>
      </c>
      <c r="L370" t="s">
        <v>4139</v>
      </c>
    </row>
    <row r="371" spans="1:12" x14ac:dyDescent="0.25">
      <c r="B371" s="53" t="s">
        <v>4271</v>
      </c>
      <c r="C371" s="132" t="s">
        <v>4365</v>
      </c>
      <c r="D371" s="7" t="s">
        <v>4136</v>
      </c>
      <c r="E371" s="7" t="s">
        <v>4116</v>
      </c>
      <c r="F371" s="7" t="s">
        <v>4409</v>
      </c>
      <c r="G371" s="7" t="s">
        <v>5003</v>
      </c>
      <c r="H371" t="s">
        <v>4027</v>
      </c>
      <c r="I371" t="s">
        <v>4028</v>
      </c>
      <c r="J371" s="109">
        <v>8333</v>
      </c>
      <c r="K371" s="34">
        <f t="shared" si="10"/>
        <v>4966.4679999999998</v>
      </c>
      <c r="L371" t="s">
        <v>4139</v>
      </c>
    </row>
    <row r="372" spans="1:12" x14ac:dyDescent="0.25">
      <c r="B372" s="53" t="s">
        <v>4272</v>
      </c>
      <c r="C372" s="132" t="s">
        <v>4365</v>
      </c>
      <c r="D372" s="7" t="s">
        <v>4137</v>
      </c>
      <c r="E372" s="7" t="s">
        <v>4116</v>
      </c>
      <c r="F372" s="7" t="s">
        <v>4410</v>
      </c>
      <c r="G372" s="7" t="s">
        <v>5003</v>
      </c>
      <c r="H372" t="s">
        <v>4027</v>
      </c>
      <c r="I372" t="s">
        <v>4028</v>
      </c>
      <c r="J372" s="109">
        <v>8333</v>
      </c>
      <c r="K372" s="34">
        <f t="shared" si="10"/>
        <v>4966.4679999999998</v>
      </c>
      <c r="L372" t="s">
        <v>4139</v>
      </c>
    </row>
    <row r="373" spans="1:12" x14ac:dyDescent="0.25">
      <c r="B373" s="53" t="s">
        <v>4273</v>
      </c>
      <c r="C373" s="132" t="s">
        <v>4365</v>
      </c>
      <c r="D373" s="7" t="s">
        <v>687</v>
      </c>
      <c r="E373" s="7" t="s">
        <v>4116</v>
      </c>
      <c r="F373" s="7" t="s">
        <v>4411</v>
      </c>
      <c r="G373" s="7" t="s">
        <v>5003</v>
      </c>
      <c r="H373" t="s">
        <v>4027</v>
      </c>
      <c r="I373" t="s">
        <v>4028</v>
      </c>
      <c r="J373" s="109">
        <v>8333</v>
      </c>
      <c r="K373" s="34">
        <f t="shared" si="10"/>
        <v>4966.4679999999998</v>
      </c>
      <c r="L373" t="s">
        <v>4139</v>
      </c>
    </row>
    <row r="374" spans="1:12" s="62" customFormat="1" x14ac:dyDescent="0.25">
      <c r="A374" s="62" t="s">
        <v>4362</v>
      </c>
      <c r="B374" s="81" t="s">
        <v>4116</v>
      </c>
      <c r="J374" s="63"/>
      <c r="K374" s="65"/>
    </row>
    <row r="375" spans="1:12" x14ac:dyDescent="0.25">
      <c r="B375" s="53" t="s">
        <v>4274</v>
      </c>
      <c r="C375" s="132" t="s">
        <v>4366</v>
      </c>
      <c r="D375" s="7" t="s">
        <v>124</v>
      </c>
      <c r="E375" s="7" t="s">
        <v>4116</v>
      </c>
      <c r="F375" s="2" t="s">
        <v>4412</v>
      </c>
      <c r="G375" s="7" t="s">
        <v>5004</v>
      </c>
      <c r="H375" t="s">
        <v>4027</v>
      </c>
      <c r="I375" t="s">
        <v>4028</v>
      </c>
      <c r="J375" s="109">
        <v>6503</v>
      </c>
      <c r="K375" s="34">
        <f t="shared" si="10"/>
        <v>3875.788</v>
      </c>
      <c r="L375" t="s">
        <v>4139</v>
      </c>
    </row>
    <row r="376" spans="1:12" x14ac:dyDescent="0.25">
      <c r="B376" s="53" t="s">
        <v>4275</v>
      </c>
      <c r="C376" s="132" t="s">
        <v>4366</v>
      </c>
      <c r="D376" s="7" t="s">
        <v>125</v>
      </c>
      <c r="E376" s="7" t="s">
        <v>4116</v>
      </c>
      <c r="F376" s="7" t="s">
        <v>4413</v>
      </c>
      <c r="G376" s="7" t="s">
        <v>5004</v>
      </c>
      <c r="H376" t="s">
        <v>4027</v>
      </c>
      <c r="I376" t="s">
        <v>4028</v>
      </c>
      <c r="J376" s="109">
        <v>6503</v>
      </c>
      <c r="K376" s="34">
        <f t="shared" si="10"/>
        <v>3875.788</v>
      </c>
      <c r="L376" t="s">
        <v>4139</v>
      </c>
    </row>
    <row r="377" spans="1:12" x14ac:dyDescent="0.25">
      <c r="B377" s="53" t="s">
        <v>4276</v>
      </c>
      <c r="C377" s="132" t="s">
        <v>4366</v>
      </c>
      <c r="D377" s="7" t="s">
        <v>126</v>
      </c>
      <c r="E377" s="7" t="s">
        <v>4116</v>
      </c>
      <c r="F377" s="7" t="s">
        <v>4414</v>
      </c>
      <c r="G377" s="7" t="s">
        <v>5004</v>
      </c>
      <c r="H377" t="s">
        <v>4027</v>
      </c>
      <c r="I377" t="s">
        <v>4028</v>
      </c>
      <c r="J377" s="109">
        <v>6503</v>
      </c>
      <c r="K377" s="34">
        <f t="shared" si="10"/>
        <v>3875.788</v>
      </c>
      <c r="L377" t="s">
        <v>4139</v>
      </c>
    </row>
    <row r="378" spans="1:12" x14ac:dyDescent="0.25">
      <c r="B378" s="53" t="s">
        <v>4277</v>
      </c>
      <c r="C378" s="132" t="s">
        <v>4366</v>
      </c>
      <c r="D378" s="7" t="s">
        <v>127</v>
      </c>
      <c r="E378" s="7" t="s">
        <v>4116</v>
      </c>
      <c r="F378" s="7" t="s">
        <v>4415</v>
      </c>
      <c r="G378" s="7" t="s">
        <v>5004</v>
      </c>
      <c r="H378" t="s">
        <v>4027</v>
      </c>
      <c r="I378" t="s">
        <v>4028</v>
      </c>
      <c r="J378" s="109">
        <v>6766</v>
      </c>
      <c r="K378" s="34">
        <f t="shared" si="10"/>
        <v>4032.5359999999996</v>
      </c>
      <c r="L378" t="s">
        <v>4139</v>
      </c>
    </row>
    <row r="379" spans="1:12" x14ac:dyDescent="0.25">
      <c r="B379" s="53" t="s">
        <v>4278</v>
      </c>
      <c r="C379" s="132" t="s">
        <v>4366</v>
      </c>
      <c r="D379" s="7" t="s">
        <v>128</v>
      </c>
      <c r="E379" s="7" t="s">
        <v>4116</v>
      </c>
      <c r="F379" s="7" t="s">
        <v>4416</v>
      </c>
      <c r="G379" s="7" t="s">
        <v>5004</v>
      </c>
      <c r="H379" t="s">
        <v>4027</v>
      </c>
      <c r="I379" t="s">
        <v>4028</v>
      </c>
      <c r="J379" s="109">
        <v>6766</v>
      </c>
      <c r="K379" s="34">
        <f t="shared" si="10"/>
        <v>4032.5359999999996</v>
      </c>
      <c r="L379" t="s">
        <v>4139</v>
      </c>
    </row>
    <row r="380" spans="1:12" x14ac:dyDescent="0.25">
      <c r="B380" s="53" t="s">
        <v>4279</v>
      </c>
      <c r="C380" s="132" t="s">
        <v>4366</v>
      </c>
      <c r="D380" s="7" t="s">
        <v>129</v>
      </c>
      <c r="E380" s="7" t="s">
        <v>4116</v>
      </c>
      <c r="F380" s="7" t="s">
        <v>4417</v>
      </c>
      <c r="G380" s="7" t="s">
        <v>5004</v>
      </c>
      <c r="H380" t="s">
        <v>4027</v>
      </c>
      <c r="I380" t="s">
        <v>4028</v>
      </c>
      <c r="J380" s="109">
        <v>6766</v>
      </c>
      <c r="K380" s="34">
        <f t="shared" si="10"/>
        <v>4032.5359999999996</v>
      </c>
      <c r="L380" t="s">
        <v>4139</v>
      </c>
    </row>
    <row r="381" spans="1:12" x14ac:dyDescent="0.25">
      <c r="B381" s="53" t="s">
        <v>4280</v>
      </c>
      <c r="C381" s="132" t="s">
        <v>4366</v>
      </c>
      <c r="D381" s="7" t="s">
        <v>130</v>
      </c>
      <c r="E381" s="7" t="s">
        <v>4116</v>
      </c>
      <c r="F381" s="7" t="s">
        <v>4418</v>
      </c>
      <c r="G381" s="7" t="s">
        <v>5004</v>
      </c>
      <c r="H381" t="s">
        <v>4027</v>
      </c>
      <c r="I381" t="s">
        <v>4028</v>
      </c>
      <c r="J381" s="109">
        <v>6766</v>
      </c>
      <c r="K381" s="34">
        <f t="shared" si="10"/>
        <v>4032.5359999999996</v>
      </c>
      <c r="L381" t="s">
        <v>4139</v>
      </c>
    </row>
    <row r="382" spans="1:12" x14ac:dyDescent="0.25">
      <c r="B382" s="53" t="s">
        <v>4281</v>
      </c>
      <c r="C382" s="132" t="s">
        <v>4366</v>
      </c>
      <c r="D382" s="7" t="s">
        <v>142</v>
      </c>
      <c r="E382" s="7" t="s">
        <v>4116</v>
      </c>
      <c r="F382" s="7" t="s">
        <v>4419</v>
      </c>
      <c r="G382" s="7" t="s">
        <v>5003</v>
      </c>
      <c r="H382" t="s">
        <v>4027</v>
      </c>
      <c r="I382" t="s">
        <v>4028</v>
      </c>
      <c r="J382" s="109">
        <v>8333</v>
      </c>
      <c r="K382" s="34">
        <f t="shared" si="10"/>
        <v>4966.4679999999998</v>
      </c>
      <c r="L382" t="s">
        <v>4139</v>
      </c>
    </row>
    <row r="383" spans="1:12" x14ac:dyDescent="0.25">
      <c r="B383" s="53" t="s">
        <v>4282</v>
      </c>
      <c r="C383" s="132" t="s">
        <v>4366</v>
      </c>
      <c r="D383" s="7" t="s">
        <v>143</v>
      </c>
      <c r="E383" s="7" t="s">
        <v>4116</v>
      </c>
      <c r="F383" s="7" t="s">
        <v>4420</v>
      </c>
      <c r="G383" s="7" t="s">
        <v>5003</v>
      </c>
      <c r="H383" t="s">
        <v>4027</v>
      </c>
      <c r="I383" t="s">
        <v>4028</v>
      </c>
      <c r="J383" s="109">
        <v>8333</v>
      </c>
      <c r="K383" s="34">
        <f t="shared" ref="K383:K446" si="11">J383*0.596</f>
        <v>4966.4679999999998</v>
      </c>
      <c r="L383" t="s">
        <v>4139</v>
      </c>
    </row>
    <row r="384" spans="1:12" x14ac:dyDescent="0.25">
      <c r="B384" s="53" t="s">
        <v>4283</v>
      </c>
      <c r="C384" s="132" t="s">
        <v>4366</v>
      </c>
      <c r="D384" s="7" t="s">
        <v>144</v>
      </c>
      <c r="E384" s="7" t="s">
        <v>4116</v>
      </c>
      <c r="F384" s="7" t="s">
        <v>4421</v>
      </c>
      <c r="G384" s="7" t="s">
        <v>5003</v>
      </c>
      <c r="H384" t="s">
        <v>4027</v>
      </c>
      <c r="I384" t="s">
        <v>4028</v>
      </c>
      <c r="J384" s="109">
        <v>8333</v>
      </c>
      <c r="K384" s="34">
        <f t="shared" si="11"/>
        <v>4966.4679999999998</v>
      </c>
      <c r="L384" t="s">
        <v>4139</v>
      </c>
    </row>
    <row r="385" spans="2:12" x14ac:dyDescent="0.25">
      <c r="B385" s="53" t="s">
        <v>4284</v>
      </c>
      <c r="C385" s="132" t="s">
        <v>4366</v>
      </c>
      <c r="D385" s="7" t="s">
        <v>145</v>
      </c>
      <c r="E385" s="7" t="s">
        <v>4116</v>
      </c>
      <c r="F385" s="7" t="s">
        <v>4422</v>
      </c>
      <c r="G385" s="7" t="s">
        <v>5003</v>
      </c>
      <c r="H385" t="s">
        <v>4027</v>
      </c>
      <c r="I385" t="s">
        <v>4028</v>
      </c>
      <c r="J385" s="109">
        <v>8333</v>
      </c>
      <c r="K385" s="34">
        <f t="shared" si="11"/>
        <v>4966.4679999999998</v>
      </c>
      <c r="L385" t="s">
        <v>4139</v>
      </c>
    </row>
    <row r="386" spans="2:12" x14ac:dyDescent="0.25">
      <c r="B386" s="53" t="s">
        <v>4285</v>
      </c>
      <c r="C386" s="132" t="s">
        <v>4366</v>
      </c>
      <c r="D386" s="7" t="s">
        <v>131</v>
      </c>
      <c r="E386" s="7" t="s">
        <v>4116</v>
      </c>
      <c r="F386" s="7" t="s">
        <v>4423</v>
      </c>
      <c r="G386" s="7" t="s">
        <v>5004</v>
      </c>
      <c r="H386" t="s">
        <v>4027</v>
      </c>
      <c r="I386" t="s">
        <v>4028</v>
      </c>
      <c r="J386" s="109">
        <v>6503</v>
      </c>
      <c r="K386" s="34">
        <f t="shared" si="11"/>
        <v>3875.788</v>
      </c>
      <c r="L386" t="s">
        <v>4139</v>
      </c>
    </row>
    <row r="387" spans="2:12" x14ac:dyDescent="0.25">
      <c r="B387" s="53" t="s">
        <v>4286</v>
      </c>
      <c r="C387" s="132" t="s">
        <v>4366</v>
      </c>
      <c r="D387" s="7" t="s">
        <v>132</v>
      </c>
      <c r="E387" s="7" t="s">
        <v>4116</v>
      </c>
      <c r="F387" s="7" t="s">
        <v>4424</v>
      </c>
      <c r="G387" s="7" t="s">
        <v>5004</v>
      </c>
      <c r="H387" t="s">
        <v>4027</v>
      </c>
      <c r="I387" t="s">
        <v>4028</v>
      </c>
      <c r="J387" s="109">
        <v>6503</v>
      </c>
      <c r="K387" s="34">
        <f t="shared" si="11"/>
        <v>3875.788</v>
      </c>
      <c r="L387" t="s">
        <v>4139</v>
      </c>
    </row>
    <row r="388" spans="2:12" x14ac:dyDescent="0.25">
      <c r="B388" s="53" t="s">
        <v>4287</v>
      </c>
      <c r="C388" s="132" t="s">
        <v>4366</v>
      </c>
      <c r="D388" s="7" t="s">
        <v>133</v>
      </c>
      <c r="E388" s="7" t="s">
        <v>4116</v>
      </c>
      <c r="F388" s="7" t="s">
        <v>4425</v>
      </c>
      <c r="G388" s="7" t="s">
        <v>5004</v>
      </c>
      <c r="H388" t="s">
        <v>4027</v>
      </c>
      <c r="I388" t="s">
        <v>4028</v>
      </c>
      <c r="J388" s="109">
        <v>6503</v>
      </c>
      <c r="K388" s="34">
        <f t="shared" si="11"/>
        <v>3875.788</v>
      </c>
      <c r="L388" t="s">
        <v>4139</v>
      </c>
    </row>
    <row r="389" spans="2:12" x14ac:dyDescent="0.25">
      <c r="B389" s="53" t="s">
        <v>4288</v>
      </c>
      <c r="C389" s="132" t="s">
        <v>4366</v>
      </c>
      <c r="D389" s="7" t="s">
        <v>134</v>
      </c>
      <c r="E389" s="7" t="s">
        <v>4116</v>
      </c>
      <c r="F389" s="7" t="s">
        <v>4426</v>
      </c>
      <c r="G389" s="7" t="s">
        <v>5004</v>
      </c>
      <c r="H389" t="s">
        <v>4027</v>
      </c>
      <c r="I389" t="s">
        <v>4028</v>
      </c>
      <c r="J389" s="109">
        <v>6766</v>
      </c>
      <c r="K389" s="34">
        <f t="shared" si="11"/>
        <v>4032.5359999999996</v>
      </c>
      <c r="L389" t="s">
        <v>4139</v>
      </c>
    </row>
    <row r="390" spans="2:12" x14ac:dyDescent="0.25">
      <c r="B390" s="53" t="s">
        <v>4289</v>
      </c>
      <c r="C390" s="132" t="s">
        <v>4366</v>
      </c>
      <c r="D390" s="7" t="s">
        <v>135</v>
      </c>
      <c r="E390" s="7" t="s">
        <v>4116</v>
      </c>
      <c r="F390" s="7" t="s">
        <v>4427</v>
      </c>
      <c r="G390" s="7" t="s">
        <v>5004</v>
      </c>
      <c r="H390" t="s">
        <v>4027</v>
      </c>
      <c r="I390" t="s">
        <v>4028</v>
      </c>
      <c r="J390" s="109">
        <v>6766</v>
      </c>
      <c r="K390" s="34">
        <f t="shared" si="11"/>
        <v>4032.5359999999996</v>
      </c>
      <c r="L390" t="s">
        <v>4139</v>
      </c>
    </row>
    <row r="391" spans="2:12" x14ac:dyDescent="0.25">
      <c r="B391" s="53" t="s">
        <v>4290</v>
      </c>
      <c r="C391" s="132" t="s">
        <v>4366</v>
      </c>
      <c r="D391" s="7" t="s">
        <v>136</v>
      </c>
      <c r="E391" s="7" t="s">
        <v>4116</v>
      </c>
      <c r="F391" s="7" t="s">
        <v>4428</v>
      </c>
      <c r="G391" s="7" t="s">
        <v>5004</v>
      </c>
      <c r="H391" t="s">
        <v>4027</v>
      </c>
      <c r="I391" t="s">
        <v>4028</v>
      </c>
      <c r="J391" s="109">
        <v>6766</v>
      </c>
      <c r="K391" s="34">
        <f t="shared" si="11"/>
        <v>4032.5359999999996</v>
      </c>
      <c r="L391" t="s">
        <v>4139</v>
      </c>
    </row>
    <row r="392" spans="2:12" x14ac:dyDescent="0.25">
      <c r="B392" s="53" t="s">
        <v>4291</v>
      </c>
      <c r="C392" s="132" t="s">
        <v>4366</v>
      </c>
      <c r="D392" s="7" t="s">
        <v>137</v>
      </c>
      <c r="E392" s="7" t="s">
        <v>4116</v>
      </c>
      <c r="F392" s="7" t="s">
        <v>4429</v>
      </c>
      <c r="G392" s="7" t="s">
        <v>5004</v>
      </c>
      <c r="H392" t="s">
        <v>4027</v>
      </c>
      <c r="I392" t="s">
        <v>4028</v>
      </c>
      <c r="J392" s="109">
        <v>6766</v>
      </c>
      <c r="K392" s="34">
        <f t="shared" si="11"/>
        <v>4032.5359999999996</v>
      </c>
      <c r="L392" t="s">
        <v>4139</v>
      </c>
    </row>
    <row r="393" spans="2:12" x14ac:dyDescent="0.25">
      <c r="B393" s="53" t="s">
        <v>4292</v>
      </c>
      <c r="C393" s="132" t="s">
        <v>4366</v>
      </c>
      <c r="D393" s="7" t="s">
        <v>146</v>
      </c>
      <c r="E393" s="7" t="s">
        <v>4116</v>
      </c>
      <c r="F393" s="7" t="s">
        <v>4430</v>
      </c>
      <c r="G393" s="7" t="s">
        <v>5003</v>
      </c>
      <c r="H393" t="s">
        <v>4027</v>
      </c>
      <c r="I393" t="s">
        <v>4028</v>
      </c>
      <c r="J393" s="109">
        <v>8333</v>
      </c>
      <c r="K393" s="34">
        <f t="shared" si="11"/>
        <v>4966.4679999999998</v>
      </c>
      <c r="L393" t="s">
        <v>4139</v>
      </c>
    </row>
    <row r="394" spans="2:12" x14ac:dyDescent="0.25">
      <c r="B394" s="53" t="s">
        <v>4293</v>
      </c>
      <c r="C394" s="132" t="s">
        <v>4366</v>
      </c>
      <c r="D394" s="7" t="s">
        <v>156</v>
      </c>
      <c r="E394" s="7" t="s">
        <v>4116</v>
      </c>
      <c r="F394" s="7" t="s">
        <v>4431</v>
      </c>
      <c r="G394" s="7" t="s">
        <v>5003</v>
      </c>
      <c r="H394" t="s">
        <v>4027</v>
      </c>
      <c r="I394" t="s">
        <v>4028</v>
      </c>
      <c r="J394" s="109">
        <v>8333</v>
      </c>
      <c r="K394" s="34">
        <f t="shared" si="11"/>
        <v>4966.4679999999998</v>
      </c>
      <c r="L394" t="s">
        <v>4139</v>
      </c>
    </row>
    <row r="395" spans="2:12" x14ac:dyDescent="0.25">
      <c r="B395" s="53" t="s">
        <v>4294</v>
      </c>
      <c r="C395" s="132" t="s">
        <v>4366</v>
      </c>
      <c r="D395" s="7" t="s">
        <v>148</v>
      </c>
      <c r="E395" s="7" t="s">
        <v>4116</v>
      </c>
      <c r="F395" s="7" t="s">
        <v>4432</v>
      </c>
      <c r="G395" s="7" t="s">
        <v>5003</v>
      </c>
      <c r="H395" t="s">
        <v>4027</v>
      </c>
      <c r="I395" t="s">
        <v>4028</v>
      </c>
      <c r="J395" s="109">
        <v>8333</v>
      </c>
      <c r="K395" s="34">
        <f t="shared" si="11"/>
        <v>4966.4679999999998</v>
      </c>
      <c r="L395" t="s">
        <v>4139</v>
      </c>
    </row>
    <row r="396" spans="2:12" x14ac:dyDescent="0.25">
      <c r="B396" s="53" t="s">
        <v>4295</v>
      </c>
      <c r="C396" s="132" t="s">
        <v>4366</v>
      </c>
      <c r="D396" s="7" t="s">
        <v>149</v>
      </c>
      <c r="E396" s="7" t="s">
        <v>4116</v>
      </c>
      <c r="F396" s="7" t="s">
        <v>4433</v>
      </c>
      <c r="G396" s="7" t="s">
        <v>5003</v>
      </c>
      <c r="H396" t="s">
        <v>4027</v>
      </c>
      <c r="I396" t="s">
        <v>4028</v>
      </c>
      <c r="J396" s="109">
        <v>8333</v>
      </c>
      <c r="K396" s="34">
        <f t="shared" si="11"/>
        <v>4966.4679999999998</v>
      </c>
      <c r="L396" t="s">
        <v>4139</v>
      </c>
    </row>
    <row r="397" spans="2:12" x14ac:dyDescent="0.25">
      <c r="B397" s="53" t="s">
        <v>4296</v>
      </c>
      <c r="C397" s="132" t="s">
        <v>4366</v>
      </c>
      <c r="D397" s="7" t="s">
        <v>4118</v>
      </c>
      <c r="E397" s="7" t="s">
        <v>4116</v>
      </c>
      <c r="F397" s="7" t="s">
        <v>4434</v>
      </c>
      <c r="G397" s="7" t="s">
        <v>5004</v>
      </c>
      <c r="H397" t="s">
        <v>4027</v>
      </c>
      <c r="I397" t="s">
        <v>4028</v>
      </c>
      <c r="J397" s="109">
        <v>6503</v>
      </c>
      <c r="K397" s="34">
        <f t="shared" si="11"/>
        <v>3875.788</v>
      </c>
      <c r="L397" t="s">
        <v>4139</v>
      </c>
    </row>
    <row r="398" spans="2:12" x14ac:dyDescent="0.25">
      <c r="B398" s="53" t="s">
        <v>4297</v>
      </c>
      <c r="C398" s="132" t="s">
        <v>4366</v>
      </c>
      <c r="D398" s="7" t="s">
        <v>4119</v>
      </c>
      <c r="E398" s="7" t="s">
        <v>4116</v>
      </c>
      <c r="F398" s="7" t="s">
        <v>4435</v>
      </c>
      <c r="G398" s="7" t="s">
        <v>5004</v>
      </c>
      <c r="H398" t="s">
        <v>4027</v>
      </c>
      <c r="I398" t="s">
        <v>4028</v>
      </c>
      <c r="J398" s="109">
        <v>6503</v>
      </c>
      <c r="K398" s="34">
        <f t="shared" si="11"/>
        <v>3875.788</v>
      </c>
      <c r="L398" t="s">
        <v>4139</v>
      </c>
    </row>
    <row r="399" spans="2:12" x14ac:dyDescent="0.25">
      <c r="B399" s="53" t="s">
        <v>4298</v>
      </c>
      <c r="C399" s="132" t="s">
        <v>4366</v>
      </c>
      <c r="D399" s="7" t="s">
        <v>4120</v>
      </c>
      <c r="E399" s="7" t="s">
        <v>4116</v>
      </c>
      <c r="F399" s="7" t="s">
        <v>4436</v>
      </c>
      <c r="G399" s="7" t="s">
        <v>5004</v>
      </c>
      <c r="H399" t="s">
        <v>4027</v>
      </c>
      <c r="I399" t="s">
        <v>4028</v>
      </c>
      <c r="J399" s="109">
        <v>6503</v>
      </c>
      <c r="K399" s="34">
        <f t="shared" si="11"/>
        <v>3875.788</v>
      </c>
      <c r="L399" t="s">
        <v>4139</v>
      </c>
    </row>
    <row r="400" spans="2:12" x14ac:dyDescent="0.25">
      <c r="B400" s="53" t="s">
        <v>4299</v>
      </c>
      <c r="C400" s="132" t="s">
        <v>4366</v>
      </c>
      <c r="D400" s="7" t="s">
        <v>4121</v>
      </c>
      <c r="E400" s="7" t="s">
        <v>4116</v>
      </c>
      <c r="F400" s="7" t="s">
        <v>4437</v>
      </c>
      <c r="G400" s="7" t="s">
        <v>5004</v>
      </c>
      <c r="H400" t="s">
        <v>4027</v>
      </c>
      <c r="I400" t="s">
        <v>4028</v>
      </c>
      <c r="J400" s="109">
        <v>6766</v>
      </c>
      <c r="K400" s="34">
        <f t="shared" si="11"/>
        <v>4032.5359999999996</v>
      </c>
      <c r="L400" t="s">
        <v>4139</v>
      </c>
    </row>
    <row r="401" spans="2:12" x14ac:dyDescent="0.25">
      <c r="B401" s="53" t="s">
        <v>4300</v>
      </c>
      <c r="C401" s="132" t="s">
        <v>4366</v>
      </c>
      <c r="D401" s="7" t="s">
        <v>4122</v>
      </c>
      <c r="E401" s="7" t="s">
        <v>4116</v>
      </c>
      <c r="F401" s="7" t="s">
        <v>4438</v>
      </c>
      <c r="G401" s="7" t="s">
        <v>5004</v>
      </c>
      <c r="H401" t="s">
        <v>4027</v>
      </c>
      <c r="I401" t="s">
        <v>4028</v>
      </c>
      <c r="J401" s="109">
        <v>6766</v>
      </c>
      <c r="K401" s="34">
        <f t="shared" si="11"/>
        <v>4032.5359999999996</v>
      </c>
      <c r="L401" t="s">
        <v>4139</v>
      </c>
    </row>
    <row r="402" spans="2:12" x14ac:dyDescent="0.25">
      <c r="B402" s="53" t="s">
        <v>4301</v>
      </c>
      <c r="C402" s="132" t="s">
        <v>4366</v>
      </c>
      <c r="D402" s="7" t="s">
        <v>4123</v>
      </c>
      <c r="E402" s="7" t="s">
        <v>4116</v>
      </c>
      <c r="F402" s="7" t="s">
        <v>4439</v>
      </c>
      <c r="G402" s="7" t="s">
        <v>5004</v>
      </c>
      <c r="H402" t="s">
        <v>4027</v>
      </c>
      <c r="I402" t="s">
        <v>4028</v>
      </c>
      <c r="J402" s="109">
        <v>6766</v>
      </c>
      <c r="K402" s="34">
        <f t="shared" si="11"/>
        <v>4032.5359999999996</v>
      </c>
      <c r="L402" t="s">
        <v>4139</v>
      </c>
    </row>
    <row r="403" spans="2:12" x14ac:dyDescent="0.25">
      <c r="B403" s="53" t="s">
        <v>4302</v>
      </c>
      <c r="C403" s="132" t="s">
        <v>4366</v>
      </c>
      <c r="D403" s="7" t="s">
        <v>4124</v>
      </c>
      <c r="E403" s="7" t="s">
        <v>4116</v>
      </c>
      <c r="F403" s="7" t="s">
        <v>4440</v>
      </c>
      <c r="G403" s="7" t="s">
        <v>5004</v>
      </c>
      <c r="H403" t="s">
        <v>4027</v>
      </c>
      <c r="I403" t="s">
        <v>4028</v>
      </c>
      <c r="J403" s="109">
        <v>6766</v>
      </c>
      <c r="K403" s="34">
        <f t="shared" si="11"/>
        <v>4032.5359999999996</v>
      </c>
      <c r="L403" t="s">
        <v>4139</v>
      </c>
    </row>
    <row r="404" spans="2:12" x14ac:dyDescent="0.25">
      <c r="B404" s="53" t="s">
        <v>4303</v>
      </c>
      <c r="C404" s="132" t="s">
        <v>4366</v>
      </c>
      <c r="D404" s="7" t="s">
        <v>4125</v>
      </c>
      <c r="E404" s="7" t="s">
        <v>4116</v>
      </c>
      <c r="F404" s="7" t="s">
        <v>4441</v>
      </c>
      <c r="G404" s="7" t="s">
        <v>5003</v>
      </c>
      <c r="H404" t="s">
        <v>4027</v>
      </c>
      <c r="I404" t="s">
        <v>4028</v>
      </c>
      <c r="J404" s="109">
        <v>8333</v>
      </c>
      <c r="K404" s="34">
        <f t="shared" si="11"/>
        <v>4966.4679999999998</v>
      </c>
      <c r="L404" t="s">
        <v>4139</v>
      </c>
    </row>
    <row r="405" spans="2:12" x14ac:dyDescent="0.25">
      <c r="B405" s="53" t="s">
        <v>4304</v>
      </c>
      <c r="C405" s="132" t="s">
        <v>4366</v>
      </c>
      <c r="D405" s="7" t="s">
        <v>4126</v>
      </c>
      <c r="E405" s="7" t="s">
        <v>4116</v>
      </c>
      <c r="F405" s="7" t="s">
        <v>4442</v>
      </c>
      <c r="G405" s="7" t="s">
        <v>5003</v>
      </c>
      <c r="H405" t="s">
        <v>4027</v>
      </c>
      <c r="I405" t="s">
        <v>4028</v>
      </c>
      <c r="J405" s="109">
        <v>8333</v>
      </c>
      <c r="K405" s="34">
        <f t="shared" si="11"/>
        <v>4966.4679999999998</v>
      </c>
      <c r="L405" t="s">
        <v>4139</v>
      </c>
    </row>
    <row r="406" spans="2:12" x14ac:dyDescent="0.25">
      <c r="B406" s="53" t="s">
        <v>4305</v>
      </c>
      <c r="C406" s="132" t="s">
        <v>4366</v>
      </c>
      <c r="D406" s="7" t="s">
        <v>4127</v>
      </c>
      <c r="E406" s="7" t="s">
        <v>4116</v>
      </c>
      <c r="F406" s="7" t="s">
        <v>4443</v>
      </c>
      <c r="G406" s="7" t="s">
        <v>5003</v>
      </c>
      <c r="H406" t="s">
        <v>4027</v>
      </c>
      <c r="I406" t="s">
        <v>4028</v>
      </c>
      <c r="J406" s="109">
        <v>8333</v>
      </c>
      <c r="K406" s="34">
        <f t="shared" si="11"/>
        <v>4966.4679999999998</v>
      </c>
      <c r="L406" t="s">
        <v>4139</v>
      </c>
    </row>
    <row r="407" spans="2:12" x14ac:dyDescent="0.25">
      <c r="B407" s="53" t="s">
        <v>4306</v>
      </c>
      <c r="C407" s="132" t="s">
        <v>4366</v>
      </c>
      <c r="D407" s="7" t="s">
        <v>674</v>
      </c>
      <c r="E407" s="7" t="s">
        <v>4116</v>
      </c>
      <c r="F407" s="7" t="s">
        <v>4444</v>
      </c>
      <c r="G407" s="7" t="s">
        <v>5003</v>
      </c>
      <c r="H407" t="s">
        <v>4027</v>
      </c>
      <c r="I407" t="s">
        <v>4028</v>
      </c>
      <c r="J407" s="109">
        <v>8333</v>
      </c>
      <c r="K407" s="34">
        <f t="shared" si="11"/>
        <v>4966.4679999999998</v>
      </c>
      <c r="L407" t="s">
        <v>4139</v>
      </c>
    </row>
    <row r="408" spans="2:12" x14ac:dyDescent="0.25">
      <c r="B408" s="53" t="s">
        <v>4307</v>
      </c>
      <c r="C408" s="132" t="s">
        <v>4366</v>
      </c>
      <c r="D408" s="7" t="s">
        <v>4128</v>
      </c>
      <c r="E408" s="7" t="s">
        <v>4116</v>
      </c>
      <c r="F408" s="7" t="s">
        <v>4445</v>
      </c>
      <c r="G408" s="7" t="s">
        <v>5004</v>
      </c>
      <c r="H408" t="s">
        <v>4027</v>
      </c>
      <c r="I408" t="s">
        <v>4028</v>
      </c>
      <c r="J408" s="109">
        <v>6503</v>
      </c>
      <c r="K408" s="34">
        <f t="shared" si="11"/>
        <v>3875.788</v>
      </c>
      <c r="L408" t="s">
        <v>4139</v>
      </c>
    </row>
    <row r="409" spans="2:12" x14ac:dyDescent="0.25">
      <c r="B409" s="53" t="s">
        <v>4308</v>
      </c>
      <c r="C409" s="132" t="s">
        <v>4366</v>
      </c>
      <c r="D409" s="7" t="s">
        <v>4129</v>
      </c>
      <c r="E409" s="7" t="s">
        <v>4116</v>
      </c>
      <c r="F409" s="7" t="s">
        <v>4446</v>
      </c>
      <c r="G409" s="7" t="s">
        <v>5004</v>
      </c>
      <c r="H409" t="s">
        <v>4027</v>
      </c>
      <c r="I409" t="s">
        <v>4028</v>
      </c>
      <c r="J409" s="109">
        <v>6503</v>
      </c>
      <c r="K409" s="34">
        <f t="shared" si="11"/>
        <v>3875.788</v>
      </c>
      <c r="L409" t="s">
        <v>4139</v>
      </c>
    </row>
    <row r="410" spans="2:12" x14ac:dyDescent="0.25">
      <c r="B410" s="53" t="s">
        <v>4309</v>
      </c>
      <c r="C410" s="132" t="s">
        <v>4366</v>
      </c>
      <c r="D410" s="7" t="s">
        <v>4130</v>
      </c>
      <c r="E410" s="7" t="s">
        <v>4116</v>
      </c>
      <c r="F410" s="7" t="s">
        <v>4447</v>
      </c>
      <c r="G410" s="7" t="s">
        <v>5004</v>
      </c>
      <c r="H410" t="s">
        <v>4027</v>
      </c>
      <c r="I410" t="s">
        <v>4028</v>
      </c>
      <c r="J410" s="109">
        <v>6503</v>
      </c>
      <c r="K410" s="34">
        <f t="shared" si="11"/>
        <v>3875.788</v>
      </c>
      <c r="L410" t="s">
        <v>4139</v>
      </c>
    </row>
    <row r="411" spans="2:12" x14ac:dyDescent="0.25">
      <c r="B411" s="53" t="s">
        <v>4310</v>
      </c>
      <c r="C411" s="132" t="s">
        <v>4366</v>
      </c>
      <c r="D411" s="7" t="s">
        <v>4131</v>
      </c>
      <c r="E411" s="7" t="s">
        <v>4116</v>
      </c>
      <c r="F411" s="7" t="s">
        <v>4448</v>
      </c>
      <c r="G411" s="7" t="s">
        <v>5004</v>
      </c>
      <c r="H411" t="s">
        <v>4027</v>
      </c>
      <c r="I411" t="s">
        <v>4028</v>
      </c>
      <c r="J411" s="109">
        <v>6766</v>
      </c>
      <c r="K411" s="34">
        <f t="shared" si="11"/>
        <v>4032.5359999999996</v>
      </c>
      <c r="L411" t="s">
        <v>4139</v>
      </c>
    </row>
    <row r="412" spans="2:12" x14ac:dyDescent="0.25">
      <c r="B412" s="53" t="s">
        <v>4311</v>
      </c>
      <c r="C412" s="132" t="s">
        <v>4366</v>
      </c>
      <c r="D412" s="7" t="s">
        <v>4132</v>
      </c>
      <c r="E412" s="7" t="s">
        <v>4116</v>
      </c>
      <c r="F412" s="7" t="s">
        <v>4449</v>
      </c>
      <c r="G412" s="7" t="s">
        <v>5004</v>
      </c>
      <c r="H412" t="s">
        <v>4027</v>
      </c>
      <c r="I412" t="s">
        <v>4028</v>
      </c>
      <c r="J412" s="109">
        <v>6766</v>
      </c>
      <c r="K412" s="34">
        <f t="shared" si="11"/>
        <v>4032.5359999999996</v>
      </c>
      <c r="L412" t="s">
        <v>4139</v>
      </c>
    </row>
    <row r="413" spans="2:12" x14ac:dyDescent="0.25">
      <c r="B413" s="53" t="s">
        <v>4312</v>
      </c>
      <c r="C413" s="132" t="s">
        <v>4366</v>
      </c>
      <c r="D413" s="7" t="s">
        <v>4133</v>
      </c>
      <c r="E413" s="7" t="s">
        <v>4116</v>
      </c>
      <c r="F413" s="7" t="s">
        <v>4450</v>
      </c>
      <c r="G413" s="7" t="s">
        <v>5004</v>
      </c>
      <c r="H413" t="s">
        <v>4027</v>
      </c>
      <c r="I413" t="s">
        <v>4028</v>
      </c>
      <c r="J413" s="109">
        <v>6766</v>
      </c>
      <c r="K413" s="34">
        <f t="shared" si="11"/>
        <v>4032.5359999999996</v>
      </c>
      <c r="L413" t="s">
        <v>4139</v>
      </c>
    </row>
    <row r="414" spans="2:12" x14ac:dyDescent="0.25">
      <c r="B414" s="53" t="s">
        <v>4313</v>
      </c>
      <c r="C414" s="132" t="s">
        <v>4366</v>
      </c>
      <c r="D414" s="7" t="s">
        <v>4134</v>
      </c>
      <c r="E414" s="7" t="s">
        <v>4116</v>
      </c>
      <c r="F414" s="7" t="s">
        <v>4451</v>
      </c>
      <c r="G414" s="7" t="s">
        <v>5004</v>
      </c>
      <c r="H414" t="s">
        <v>4027</v>
      </c>
      <c r="I414" t="s">
        <v>4028</v>
      </c>
      <c r="J414" s="109">
        <v>6766</v>
      </c>
      <c r="K414" s="34">
        <f t="shared" si="11"/>
        <v>4032.5359999999996</v>
      </c>
      <c r="L414" t="s">
        <v>4139</v>
      </c>
    </row>
    <row r="415" spans="2:12" x14ac:dyDescent="0.25">
      <c r="B415" s="53" t="s">
        <v>4314</v>
      </c>
      <c r="C415" s="132" t="s">
        <v>4366</v>
      </c>
      <c r="D415" s="7" t="s">
        <v>4135</v>
      </c>
      <c r="E415" s="7" t="s">
        <v>4116</v>
      </c>
      <c r="F415" s="7" t="s">
        <v>4452</v>
      </c>
      <c r="G415" s="7" t="s">
        <v>5003</v>
      </c>
      <c r="H415" t="s">
        <v>4027</v>
      </c>
      <c r="I415" t="s">
        <v>4028</v>
      </c>
      <c r="J415" s="109">
        <v>8333</v>
      </c>
      <c r="K415" s="34">
        <f t="shared" si="11"/>
        <v>4966.4679999999998</v>
      </c>
      <c r="L415" t="s">
        <v>4139</v>
      </c>
    </row>
    <row r="416" spans="2:12" x14ac:dyDescent="0.25">
      <c r="B416" s="53" t="s">
        <v>4315</v>
      </c>
      <c r="C416" s="132" t="s">
        <v>4366</v>
      </c>
      <c r="D416" s="7" t="s">
        <v>4136</v>
      </c>
      <c r="E416" s="7" t="s">
        <v>4116</v>
      </c>
      <c r="F416" s="7" t="s">
        <v>4453</v>
      </c>
      <c r="G416" s="7" t="s">
        <v>5003</v>
      </c>
      <c r="H416" t="s">
        <v>4027</v>
      </c>
      <c r="I416" t="s">
        <v>4028</v>
      </c>
      <c r="J416" s="109">
        <v>8333</v>
      </c>
      <c r="K416" s="34">
        <f t="shared" si="11"/>
        <v>4966.4679999999998</v>
      </c>
      <c r="L416" t="s">
        <v>4139</v>
      </c>
    </row>
    <row r="417" spans="2:12" x14ac:dyDescent="0.25">
      <c r="B417" s="53" t="s">
        <v>4316</v>
      </c>
      <c r="C417" s="132" t="s">
        <v>4366</v>
      </c>
      <c r="D417" s="7" t="s">
        <v>4137</v>
      </c>
      <c r="E417" s="7" t="s">
        <v>4116</v>
      </c>
      <c r="F417" s="7" t="s">
        <v>4454</v>
      </c>
      <c r="G417" s="7" t="s">
        <v>5003</v>
      </c>
      <c r="H417" t="s">
        <v>4027</v>
      </c>
      <c r="I417" t="s">
        <v>4028</v>
      </c>
      <c r="J417" s="109">
        <v>8333</v>
      </c>
      <c r="K417" s="34">
        <f t="shared" si="11"/>
        <v>4966.4679999999998</v>
      </c>
      <c r="L417" t="s">
        <v>4139</v>
      </c>
    </row>
    <row r="418" spans="2:12" x14ac:dyDescent="0.25">
      <c r="B418" s="53" t="s">
        <v>4317</v>
      </c>
      <c r="C418" s="132" t="s">
        <v>4366</v>
      </c>
      <c r="D418" s="7" t="s">
        <v>687</v>
      </c>
      <c r="E418" s="7" t="s">
        <v>4116</v>
      </c>
      <c r="F418" s="7" t="s">
        <v>4455</v>
      </c>
      <c r="G418" s="7" t="s">
        <v>5003</v>
      </c>
      <c r="H418" t="s">
        <v>4027</v>
      </c>
      <c r="I418" t="s">
        <v>4028</v>
      </c>
      <c r="J418" s="109">
        <v>8333</v>
      </c>
      <c r="K418" s="34">
        <f t="shared" si="11"/>
        <v>4966.4679999999998</v>
      </c>
      <c r="L418" t="s">
        <v>4139</v>
      </c>
    </row>
    <row r="419" spans="2:12" x14ac:dyDescent="0.25">
      <c r="B419" s="53" t="s">
        <v>4318</v>
      </c>
      <c r="C419" s="132" t="s">
        <v>4367</v>
      </c>
      <c r="D419" s="7" t="s">
        <v>124</v>
      </c>
      <c r="E419" s="7" t="s">
        <v>4116</v>
      </c>
      <c r="F419" s="2" t="s">
        <v>4412</v>
      </c>
      <c r="G419" s="7" t="s">
        <v>5004</v>
      </c>
      <c r="H419" t="s">
        <v>4027</v>
      </c>
      <c r="I419" t="s">
        <v>4028</v>
      </c>
      <c r="J419" s="109">
        <v>6503</v>
      </c>
      <c r="K419" s="34">
        <f t="shared" si="11"/>
        <v>3875.788</v>
      </c>
      <c r="L419" t="s">
        <v>4139</v>
      </c>
    </row>
    <row r="420" spans="2:12" x14ac:dyDescent="0.25">
      <c r="B420" s="53" t="s">
        <v>4319</v>
      </c>
      <c r="C420" s="132" t="s">
        <v>4367</v>
      </c>
      <c r="D420" s="7" t="s">
        <v>125</v>
      </c>
      <c r="E420" s="7" t="s">
        <v>4116</v>
      </c>
      <c r="F420" s="7" t="s">
        <v>4413</v>
      </c>
      <c r="G420" s="7" t="s">
        <v>5004</v>
      </c>
      <c r="H420" t="s">
        <v>4027</v>
      </c>
      <c r="I420" t="s">
        <v>4028</v>
      </c>
      <c r="J420" s="109">
        <v>6503</v>
      </c>
      <c r="K420" s="34">
        <f t="shared" si="11"/>
        <v>3875.788</v>
      </c>
      <c r="L420" t="s">
        <v>4139</v>
      </c>
    </row>
    <row r="421" spans="2:12" x14ac:dyDescent="0.25">
      <c r="B421" s="53" t="s">
        <v>4320</v>
      </c>
      <c r="C421" s="132" t="s">
        <v>4367</v>
      </c>
      <c r="D421" s="7" t="s">
        <v>126</v>
      </c>
      <c r="E421" s="7" t="s">
        <v>4116</v>
      </c>
      <c r="F421" s="7" t="s">
        <v>4414</v>
      </c>
      <c r="G421" s="7" t="s">
        <v>5004</v>
      </c>
      <c r="H421" t="s">
        <v>4027</v>
      </c>
      <c r="I421" t="s">
        <v>4028</v>
      </c>
      <c r="J421" s="109">
        <v>6503</v>
      </c>
      <c r="K421" s="34">
        <f t="shared" si="11"/>
        <v>3875.788</v>
      </c>
      <c r="L421" t="s">
        <v>4139</v>
      </c>
    </row>
    <row r="422" spans="2:12" x14ac:dyDescent="0.25">
      <c r="B422" s="53" t="s">
        <v>4321</v>
      </c>
      <c r="C422" s="132" t="s">
        <v>4367</v>
      </c>
      <c r="D422" s="7" t="s">
        <v>127</v>
      </c>
      <c r="E422" s="7" t="s">
        <v>4116</v>
      </c>
      <c r="F422" s="7" t="s">
        <v>4415</v>
      </c>
      <c r="G422" s="7" t="s">
        <v>5004</v>
      </c>
      <c r="H422" t="s">
        <v>4027</v>
      </c>
      <c r="I422" t="s">
        <v>4028</v>
      </c>
      <c r="J422" s="109">
        <v>6766</v>
      </c>
      <c r="K422" s="34">
        <f t="shared" si="11"/>
        <v>4032.5359999999996</v>
      </c>
      <c r="L422" t="s">
        <v>4139</v>
      </c>
    </row>
    <row r="423" spans="2:12" x14ac:dyDescent="0.25">
      <c r="B423" s="53" t="s">
        <v>4322</v>
      </c>
      <c r="C423" s="132" t="s">
        <v>4367</v>
      </c>
      <c r="D423" s="7" t="s">
        <v>128</v>
      </c>
      <c r="E423" s="7" t="s">
        <v>4116</v>
      </c>
      <c r="F423" s="7" t="s">
        <v>4416</v>
      </c>
      <c r="G423" s="7" t="s">
        <v>5004</v>
      </c>
      <c r="H423" t="s">
        <v>4027</v>
      </c>
      <c r="I423" t="s">
        <v>4028</v>
      </c>
      <c r="J423" s="109">
        <v>6766</v>
      </c>
      <c r="K423" s="34">
        <f t="shared" si="11"/>
        <v>4032.5359999999996</v>
      </c>
      <c r="L423" t="s">
        <v>4139</v>
      </c>
    </row>
    <row r="424" spans="2:12" x14ac:dyDescent="0.25">
      <c r="B424" s="53" t="s">
        <v>4323</v>
      </c>
      <c r="C424" s="132" t="s">
        <v>4367</v>
      </c>
      <c r="D424" s="7" t="s">
        <v>129</v>
      </c>
      <c r="E424" s="7" t="s">
        <v>4116</v>
      </c>
      <c r="F424" s="7" t="s">
        <v>4417</v>
      </c>
      <c r="G424" s="7" t="s">
        <v>5004</v>
      </c>
      <c r="H424" t="s">
        <v>4027</v>
      </c>
      <c r="I424" t="s">
        <v>4028</v>
      </c>
      <c r="J424" s="109">
        <v>6766</v>
      </c>
      <c r="K424" s="34">
        <f t="shared" si="11"/>
        <v>4032.5359999999996</v>
      </c>
      <c r="L424" t="s">
        <v>4139</v>
      </c>
    </row>
    <row r="425" spans="2:12" x14ac:dyDescent="0.25">
      <c r="B425" s="53" t="s">
        <v>4324</v>
      </c>
      <c r="C425" s="132" t="s">
        <v>4367</v>
      </c>
      <c r="D425" s="7" t="s">
        <v>130</v>
      </c>
      <c r="E425" s="7" t="s">
        <v>4116</v>
      </c>
      <c r="F425" s="7" t="s">
        <v>4418</v>
      </c>
      <c r="G425" s="7" t="s">
        <v>5004</v>
      </c>
      <c r="H425" t="s">
        <v>4027</v>
      </c>
      <c r="I425" t="s">
        <v>4028</v>
      </c>
      <c r="J425" s="109">
        <v>6766</v>
      </c>
      <c r="K425" s="34">
        <f t="shared" si="11"/>
        <v>4032.5359999999996</v>
      </c>
      <c r="L425" t="s">
        <v>4139</v>
      </c>
    </row>
    <row r="426" spans="2:12" x14ac:dyDescent="0.25">
      <c r="B426" s="53" t="s">
        <v>4325</v>
      </c>
      <c r="C426" s="132" t="s">
        <v>4367</v>
      </c>
      <c r="D426" s="7" t="s">
        <v>142</v>
      </c>
      <c r="E426" s="7" t="s">
        <v>4116</v>
      </c>
      <c r="F426" s="7" t="s">
        <v>4419</v>
      </c>
      <c r="G426" s="7" t="s">
        <v>5003</v>
      </c>
      <c r="H426" t="s">
        <v>4027</v>
      </c>
      <c r="I426" t="s">
        <v>4028</v>
      </c>
      <c r="J426" s="109">
        <v>8333</v>
      </c>
      <c r="K426" s="34">
        <f t="shared" si="11"/>
        <v>4966.4679999999998</v>
      </c>
      <c r="L426" t="s">
        <v>4139</v>
      </c>
    </row>
    <row r="427" spans="2:12" x14ac:dyDescent="0.25">
      <c r="B427" s="53" t="s">
        <v>4326</v>
      </c>
      <c r="C427" s="132" t="s">
        <v>4367</v>
      </c>
      <c r="D427" s="7" t="s">
        <v>143</v>
      </c>
      <c r="E427" s="7" t="s">
        <v>4116</v>
      </c>
      <c r="F427" s="7" t="s">
        <v>4420</v>
      </c>
      <c r="G427" s="7" t="s">
        <v>5003</v>
      </c>
      <c r="H427" t="s">
        <v>4027</v>
      </c>
      <c r="I427" t="s">
        <v>4028</v>
      </c>
      <c r="J427" s="109">
        <v>8333</v>
      </c>
      <c r="K427" s="34">
        <f t="shared" si="11"/>
        <v>4966.4679999999998</v>
      </c>
      <c r="L427" t="s">
        <v>4139</v>
      </c>
    </row>
    <row r="428" spans="2:12" x14ac:dyDescent="0.25">
      <c r="B428" s="53" t="s">
        <v>4327</v>
      </c>
      <c r="C428" s="132" t="s">
        <v>4367</v>
      </c>
      <c r="D428" s="7" t="s">
        <v>144</v>
      </c>
      <c r="E428" s="7" t="s">
        <v>4116</v>
      </c>
      <c r="F428" s="7" t="s">
        <v>4421</v>
      </c>
      <c r="G428" s="7" t="s">
        <v>5003</v>
      </c>
      <c r="H428" t="s">
        <v>4027</v>
      </c>
      <c r="I428" t="s">
        <v>4028</v>
      </c>
      <c r="J428" s="109">
        <v>8333</v>
      </c>
      <c r="K428" s="34">
        <f t="shared" si="11"/>
        <v>4966.4679999999998</v>
      </c>
      <c r="L428" t="s">
        <v>4139</v>
      </c>
    </row>
    <row r="429" spans="2:12" x14ac:dyDescent="0.25">
      <c r="B429" s="53" t="s">
        <v>4328</v>
      </c>
      <c r="C429" s="132" t="s">
        <v>4367</v>
      </c>
      <c r="D429" s="7" t="s">
        <v>145</v>
      </c>
      <c r="E429" s="7" t="s">
        <v>4116</v>
      </c>
      <c r="F429" s="7" t="s">
        <v>4422</v>
      </c>
      <c r="G429" s="7" t="s">
        <v>5003</v>
      </c>
      <c r="H429" t="s">
        <v>4027</v>
      </c>
      <c r="I429" t="s">
        <v>4028</v>
      </c>
      <c r="J429" s="109">
        <v>8333</v>
      </c>
      <c r="K429" s="34">
        <f t="shared" si="11"/>
        <v>4966.4679999999998</v>
      </c>
      <c r="L429" t="s">
        <v>4139</v>
      </c>
    </row>
    <row r="430" spans="2:12" x14ac:dyDescent="0.25">
      <c r="B430" s="53" t="s">
        <v>4329</v>
      </c>
      <c r="C430" s="132" t="s">
        <v>4367</v>
      </c>
      <c r="D430" s="7" t="s">
        <v>131</v>
      </c>
      <c r="E430" s="7" t="s">
        <v>4116</v>
      </c>
      <c r="F430" s="7" t="s">
        <v>4423</v>
      </c>
      <c r="G430" s="7" t="s">
        <v>5004</v>
      </c>
      <c r="H430" t="s">
        <v>4027</v>
      </c>
      <c r="I430" t="s">
        <v>4028</v>
      </c>
      <c r="J430" s="109">
        <v>6503</v>
      </c>
      <c r="K430" s="34">
        <f t="shared" si="11"/>
        <v>3875.788</v>
      </c>
      <c r="L430" t="s">
        <v>4139</v>
      </c>
    </row>
    <row r="431" spans="2:12" x14ac:dyDescent="0.25">
      <c r="B431" s="53" t="s">
        <v>4330</v>
      </c>
      <c r="C431" s="132" t="s">
        <v>4367</v>
      </c>
      <c r="D431" s="7" t="s">
        <v>132</v>
      </c>
      <c r="E431" s="7" t="s">
        <v>4116</v>
      </c>
      <c r="F431" s="7" t="s">
        <v>4424</v>
      </c>
      <c r="G431" s="7" t="s">
        <v>5004</v>
      </c>
      <c r="H431" t="s">
        <v>4027</v>
      </c>
      <c r="I431" t="s">
        <v>4028</v>
      </c>
      <c r="J431" s="109">
        <v>6503</v>
      </c>
      <c r="K431" s="34">
        <f t="shared" si="11"/>
        <v>3875.788</v>
      </c>
      <c r="L431" t="s">
        <v>4139</v>
      </c>
    </row>
    <row r="432" spans="2:12" x14ac:dyDescent="0.25">
      <c r="B432" s="53" t="s">
        <v>4331</v>
      </c>
      <c r="C432" s="132" t="s">
        <v>4367</v>
      </c>
      <c r="D432" s="7" t="s">
        <v>133</v>
      </c>
      <c r="E432" s="7" t="s">
        <v>4116</v>
      </c>
      <c r="F432" s="7" t="s">
        <v>4425</v>
      </c>
      <c r="G432" s="7" t="s">
        <v>5004</v>
      </c>
      <c r="H432" t="s">
        <v>4027</v>
      </c>
      <c r="I432" t="s">
        <v>4028</v>
      </c>
      <c r="J432" s="109">
        <v>6503</v>
      </c>
      <c r="K432" s="34">
        <f t="shared" si="11"/>
        <v>3875.788</v>
      </c>
      <c r="L432" t="s">
        <v>4139</v>
      </c>
    </row>
    <row r="433" spans="2:12" x14ac:dyDescent="0.25">
      <c r="B433" s="53" t="s">
        <v>4332</v>
      </c>
      <c r="C433" s="132" t="s">
        <v>4367</v>
      </c>
      <c r="D433" s="7" t="s">
        <v>134</v>
      </c>
      <c r="E433" s="7" t="s">
        <v>4116</v>
      </c>
      <c r="F433" s="7" t="s">
        <v>4426</v>
      </c>
      <c r="G433" s="7" t="s">
        <v>5004</v>
      </c>
      <c r="H433" t="s">
        <v>4027</v>
      </c>
      <c r="I433" t="s">
        <v>4028</v>
      </c>
      <c r="J433" s="109">
        <v>6766</v>
      </c>
      <c r="K433" s="34">
        <f t="shared" si="11"/>
        <v>4032.5359999999996</v>
      </c>
      <c r="L433" t="s">
        <v>4139</v>
      </c>
    </row>
    <row r="434" spans="2:12" x14ac:dyDescent="0.25">
      <c r="B434" s="53" t="s">
        <v>4333</v>
      </c>
      <c r="C434" s="132" t="s">
        <v>4367</v>
      </c>
      <c r="D434" s="7" t="s">
        <v>135</v>
      </c>
      <c r="E434" s="7" t="s">
        <v>4116</v>
      </c>
      <c r="F434" s="7" t="s">
        <v>4427</v>
      </c>
      <c r="G434" s="7" t="s">
        <v>5004</v>
      </c>
      <c r="H434" t="s">
        <v>4027</v>
      </c>
      <c r="I434" t="s">
        <v>4028</v>
      </c>
      <c r="J434" s="109">
        <v>6766</v>
      </c>
      <c r="K434" s="34">
        <f t="shared" si="11"/>
        <v>4032.5359999999996</v>
      </c>
      <c r="L434" t="s">
        <v>4139</v>
      </c>
    </row>
    <row r="435" spans="2:12" x14ac:dyDescent="0.25">
      <c r="B435" s="53" t="s">
        <v>4334</v>
      </c>
      <c r="C435" s="132" t="s">
        <v>4367</v>
      </c>
      <c r="D435" s="7" t="s">
        <v>136</v>
      </c>
      <c r="E435" s="7" t="s">
        <v>4116</v>
      </c>
      <c r="F435" s="7" t="s">
        <v>4428</v>
      </c>
      <c r="G435" s="7" t="s">
        <v>5004</v>
      </c>
      <c r="H435" t="s">
        <v>4027</v>
      </c>
      <c r="I435" t="s">
        <v>4028</v>
      </c>
      <c r="J435" s="109">
        <v>6766</v>
      </c>
      <c r="K435" s="34">
        <f t="shared" si="11"/>
        <v>4032.5359999999996</v>
      </c>
      <c r="L435" t="s">
        <v>4139</v>
      </c>
    </row>
    <row r="436" spans="2:12" x14ac:dyDescent="0.25">
      <c r="B436" s="53" t="s">
        <v>4335</v>
      </c>
      <c r="C436" s="132" t="s">
        <v>4367</v>
      </c>
      <c r="D436" s="7" t="s">
        <v>137</v>
      </c>
      <c r="E436" s="7" t="s">
        <v>4116</v>
      </c>
      <c r="F436" s="7" t="s">
        <v>4429</v>
      </c>
      <c r="G436" s="7" t="s">
        <v>5004</v>
      </c>
      <c r="H436" t="s">
        <v>4027</v>
      </c>
      <c r="I436" t="s">
        <v>4028</v>
      </c>
      <c r="J436" s="109">
        <v>6766</v>
      </c>
      <c r="K436" s="34">
        <f t="shared" si="11"/>
        <v>4032.5359999999996</v>
      </c>
      <c r="L436" t="s">
        <v>4139</v>
      </c>
    </row>
    <row r="437" spans="2:12" x14ac:dyDescent="0.25">
      <c r="B437" s="53" t="s">
        <v>4336</v>
      </c>
      <c r="C437" s="132" t="s">
        <v>4367</v>
      </c>
      <c r="D437" s="7" t="s">
        <v>146</v>
      </c>
      <c r="E437" s="7" t="s">
        <v>4116</v>
      </c>
      <c r="F437" s="7" t="s">
        <v>4430</v>
      </c>
      <c r="G437" s="7" t="s">
        <v>5003</v>
      </c>
      <c r="H437" t="s">
        <v>4027</v>
      </c>
      <c r="I437" t="s">
        <v>4028</v>
      </c>
      <c r="J437" s="109">
        <v>8333</v>
      </c>
      <c r="K437" s="34">
        <f t="shared" si="11"/>
        <v>4966.4679999999998</v>
      </c>
      <c r="L437" t="s">
        <v>4139</v>
      </c>
    </row>
    <row r="438" spans="2:12" x14ac:dyDescent="0.25">
      <c r="B438" s="53" t="s">
        <v>4337</v>
      </c>
      <c r="C438" s="132" t="s">
        <v>4367</v>
      </c>
      <c r="D438" s="7" t="s">
        <v>156</v>
      </c>
      <c r="E438" s="7" t="s">
        <v>4116</v>
      </c>
      <c r="F438" s="7" t="s">
        <v>4431</v>
      </c>
      <c r="G438" s="7" t="s">
        <v>5003</v>
      </c>
      <c r="H438" t="s">
        <v>4027</v>
      </c>
      <c r="I438" t="s">
        <v>4028</v>
      </c>
      <c r="J438" s="109">
        <v>8333</v>
      </c>
      <c r="K438" s="34">
        <f t="shared" si="11"/>
        <v>4966.4679999999998</v>
      </c>
      <c r="L438" t="s">
        <v>4139</v>
      </c>
    </row>
    <row r="439" spans="2:12" x14ac:dyDescent="0.25">
      <c r="B439" s="53" t="s">
        <v>4338</v>
      </c>
      <c r="C439" s="132" t="s">
        <v>4367</v>
      </c>
      <c r="D439" s="7" t="s">
        <v>148</v>
      </c>
      <c r="E439" s="7" t="s">
        <v>4116</v>
      </c>
      <c r="F439" s="7" t="s">
        <v>4432</v>
      </c>
      <c r="G439" s="7" t="s">
        <v>5003</v>
      </c>
      <c r="H439" t="s">
        <v>4027</v>
      </c>
      <c r="I439" t="s">
        <v>4028</v>
      </c>
      <c r="J439" s="109">
        <v>8333</v>
      </c>
      <c r="K439" s="34">
        <f t="shared" si="11"/>
        <v>4966.4679999999998</v>
      </c>
      <c r="L439" t="s">
        <v>4139</v>
      </c>
    </row>
    <row r="440" spans="2:12" x14ac:dyDescent="0.25">
      <c r="B440" s="53" t="s">
        <v>4339</v>
      </c>
      <c r="C440" s="132" t="s">
        <v>4367</v>
      </c>
      <c r="D440" s="7" t="s">
        <v>149</v>
      </c>
      <c r="E440" s="7" t="s">
        <v>4116</v>
      </c>
      <c r="F440" s="7" t="s">
        <v>4433</v>
      </c>
      <c r="G440" s="7" t="s">
        <v>5003</v>
      </c>
      <c r="H440" t="s">
        <v>4027</v>
      </c>
      <c r="I440" t="s">
        <v>4028</v>
      </c>
      <c r="J440" s="109">
        <v>8333</v>
      </c>
      <c r="K440" s="34">
        <f t="shared" si="11"/>
        <v>4966.4679999999998</v>
      </c>
      <c r="L440" t="s">
        <v>4139</v>
      </c>
    </row>
    <row r="441" spans="2:12" x14ac:dyDescent="0.25">
      <c r="B441" s="53" t="s">
        <v>4340</v>
      </c>
      <c r="C441" s="132" t="s">
        <v>4367</v>
      </c>
      <c r="D441" s="7" t="s">
        <v>4118</v>
      </c>
      <c r="E441" s="7" t="s">
        <v>4116</v>
      </c>
      <c r="F441" s="7" t="s">
        <v>4434</v>
      </c>
      <c r="G441" s="7" t="s">
        <v>5004</v>
      </c>
      <c r="H441" t="s">
        <v>4027</v>
      </c>
      <c r="I441" t="s">
        <v>4028</v>
      </c>
      <c r="J441" s="109">
        <v>6503</v>
      </c>
      <c r="K441" s="34">
        <f t="shared" si="11"/>
        <v>3875.788</v>
      </c>
      <c r="L441" t="s">
        <v>4139</v>
      </c>
    </row>
    <row r="442" spans="2:12" x14ac:dyDescent="0.25">
      <c r="B442" s="53" t="s">
        <v>4341</v>
      </c>
      <c r="C442" s="132" t="s">
        <v>4367</v>
      </c>
      <c r="D442" s="7" t="s">
        <v>4119</v>
      </c>
      <c r="E442" s="7" t="s">
        <v>4116</v>
      </c>
      <c r="F442" s="7" t="s">
        <v>4435</v>
      </c>
      <c r="G442" s="7" t="s">
        <v>5004</v>
      </c>
      <c r="H442" t="s">
        <v>4027</v>
      </c>
      <c r="I442" t="s">
        <v>4028</v>
      </c>
      <c r="J442" s="109">
        <v>6503</v>
      </c>
      <c r="K442" s="34">
        <f t="shared" si="11"/>
        <v>3875.788</v>
      </c>
      <c r="L442" t="s">
        <v>4139</v>
      </c>
    </row>
    <row r="443" spans="2:12" x14ac:dyDescent="0.25">
      <c r="B443" s="53" t="s">
        <v>4342</v>
      </c>
      <c r="C443" s="132" t="s">
        <v>4367</v>
      </c>
      <c r="D443" s="7" t="s">
        <v>4120</v>
      </c>
      <c r="E443" s="7" t="s">
        <v>4116</v>
      </c>
      <c r="F443" s="7" t="s">
        <v>4436</v>
      </c>
      <c r="G443" s="7" t="s">
        <v>5004</v>
      </c>
      <c r="H443" t="s">
        <v>4027</v>
      </c>
      <c r="I443" t="s">
        <v>4028</v>
      </c>
      <c r="J443" s="109">
        <v>6503</v>
      </c>
      <c r="K443" s="34">
        <f t="shared" si="11"/>
        <v>3875.788</v>
      </c>
      <c r="L443" t="s">
        <v>4139</v>
      </c>
    </row>
    <row r="444" spans="2:12" x14ac:dyDescent="0.25">
      <c r="B444" s="53" t="s">
        <v>4343</v>
      </c>
      <c r="C444" s="132" t="s">
        <v>4367</v>
      </c>
      <c r="D444" s="7" t="s">
        <v>4121</v>
      </c>
      <c r="E444" s="7" t="s">
        <v>4116</v>
      </c>
      <c r="F444" s="7" t="s">
        <v>4437</v>
      </c>
      <c r="G444" s="7" t="s">
        <v>5004</v>
      </c>
      <c r="H444" t="s">
        <v>4027</v>
      </c>
      <c r="I444" t="s">
        <v>4028</v>
      </c>
      <c r="J444" s="109">
        <v>6766</v>
      </c>
      <c r="K444" s="34">
        <f t="shared" si="11"/>
        <v>4032.5359999999996</v>
      </c>
      <c r="L444" t="s">
        <v>4139</v>
      </c>
    </row>
    <row r="445" spans="2:12" x14ac:dyDescent="0.25">
      <c r="B445" s="53" t="s">
        <v>4344</v>
      </c>
      <c r="C445" s="132" t="s">
        <v>4367</v>
      </c>
      <c r="D445" s="7" t="s">
        <v>4122</v>
      </c>
      <c r="E445" s="7" t="s">
        <v>4116</v>
      </c>
      <c r="F445" s="7" t="s">
        <v>4438</v>
      </c>
      <c r="G445" s="7" t="s">
        <v>5004</v>
      </c>
      <c r="H445" t="s">
        <v>4027</v>
      </c>
      <c r="I445" t="s">
        <v>4028</v>
      </c>
      <c r="J445" s="109">
        <v>6766</v>
      </c>
      <c r="K445" s="34">
        <f t="shared" si="11"/>
        <v>4032.5359999999996</v>
      </c>
      <c r="L445" t="s">
        <v>4139</v>
      </c>
    </row>
    <row r="446" spans="2:12" x14ac:dyDescent="0.25">
      <c r="B446" s="53" t="s">
        <v>4345</v>
      </c>
      <c r="C446" s="132" t="s">
        <v>4367</v>
      </c>
      <c r="D446" s="7" t="s">
        <v>4123</v>
      </c>
      <c r="E446" s="7" t="s">
        <v>4116</v>
      </c>
      <c r="F446" s="7" t="s">
        <v>4439</v>
      </c>
      <c r="G446" s="7" t="s">
        <v>5004</v>
      </c>
      <c r="H446" t="s">
        <v>4027</v>
      </c>
      <c r="I446" t="s">
        <v>4028</v>
      </c>
      <c r="J446" s="109">
        <v>6766</v>
      </c>
      <c r="K446" s="34">
        <f t="shared" si="11"/>
        <v>4032.5359999999996</v>
      </c>
      <c r="L446" t="s">
        <v>4139</v>
      </c>
    </row>
    <row r="447" spans="2:12" x14ac:dyDescent="0.25">
      <c r="B447" s="53" t="s">
        <v>4346</v>
      </c>
      <c r="C447" s="132" t="s">
        <v>4367</v>
      </c>
      <c r="D447" s="7" t="s">
        <v>4124</v>
      </c>
      <c r="E447" s="7" t="s">
        <v>4116</v>
      </c>
      <c r="F447" s="7" t="s">
        <v>4440</v>
      </c>
      <c r="G447" s="7" t="s">
        <v>5004</v>
      </c>
      <c r="H447" t="s">
        <v>4027</v>
      </c>
      <c r="I447" t="s">
        <v>4028</v>
      </c>
      <c r="J447" s="109">
        <v>6766</v>
      </c>
      <c r="K447" s="34">
        <f t="shared" ref="K447:K510" si="12">J447*0.596</f>
        <v>4032.5359999999996</v>
      </c>
      <c r="L447" t="s">
        <v>4139</v>
      </c>
    </row>
    <row r="448" spans="2:12" x14ac:dyDescent="0.25">
      <c r="B448" s="53" t="s">
        <v>4347</v>
      </c>
      <c r="C448" s="132" t="s">
        <v>4367</v>
      </c>
      <c r="D448" s="7" t="s">
        <v>4125</v>
      </c>
      <c r="E448" s="7" t="s">
        <v>4116</v>
      </c>
      <c r="F448" s="7" t="s">
        <v>4441</v>
      </c>
      <c r="G448" s="7" t="s">
        <v>5003</v>
      </c>
      <c r="H448" t="s">
        <v>4027</v>
      </c>
      <c r="I448" t="s">
        <v>4028</v>
      </c>
      <c r="J448" s="109">
        <v>8333</v>
      </c>
      <c r="K448" s="34">
        <f t="shared" si="12"/>
        <v>4966.4679999999998</v>
      </c>
      <c r="L448" t="s">
        <v>4139</v>
      </c>
    </row>
    <row r="449" spans="1:12" x14ac:dyDescent="0.25">
      <c r="B449" s="53" t="s">
        <v>4348</v>
      </c>
      <c r="C449" s="132" t="s">
        <v>4367</v>
      </c>
      <c r="D449" s="7" t="s">
        <v>4126</v>
      </c>
      <c r="E449" s="7" t="s">
        <v>4116</v>
      </c>
      <c r="F449" s="7" t="s">
        <v>4442</v>
      </c>
      <c r="G449" s="7" t="s">
        <v>5003</v>
      </c>
      <c r="H449" t="s">
        <v>4027</v>
      </c>
      <c r="I449" t="s">
        <v>4028</v>
      </c>
      <c r="J449" s="109">
        <v>8333</v>
      </c>
      <c r="K449" s="34">
        <f t="shared" si="12"/>
        <v>4966.4679999999998</v>
      </c>
      <c r="L449" t="s">
        <v>4139</v>
      </c>
    </row>
    <row r="450" spans="1:12" x14ac:dyDescent="0.25">
      <c r="B450" s="53" t="s">
        <v>4349</v>
      </c>
      <c r="C450" s="132" t="s">
        <v>4367</v>
      </c>
      <c r="D450" s="7" t="s">
        <v>4127</v>
      </c>
      <c r="E450" s="7" t="s">
        <v>4116</v>
      </c>
      <c r="F450" s="7" t="s">
        <v>4443</v>
      </c>
      <c r="G450" s="7" t="s">
        <v>5003</v>
      </c>
      <c r="H450" t="s">
        <v>4027</v>
      </c>
      <c r="I450" t="s">
        <v>4028</v>
      </c>
      <c r="J450" s="109">
        <v>8333</v>
      </c>
      <c r="K450" s="34">
        <f t="shared" si="12"/>
        <v>4966.4679999999998</v>
      </c>
      <c r="L450" t="s">
        <v>4139</v>
      </c>
    </row>
    <row r="451" spans="1:12" x14ac:dyDescent="0.25">
      <c r="B451" s="53" t="s">
        <v>4350</v>
      </c>
      <c r="C451" s="132" t="s">
        <v>4367</v>
      </c>
      <c r="D451" s="7" t="s">
        <v>674</v>
      </c>
      <c r="E451" s="7" t="s">
        <v>4116</v>
      </c>
      <c r="F451" s="7" t="s">
        <v>4444</v>
      </c>
      <c r="G451" s="7" t="s">
        <v>5003</v>
      </c>
      <c r="H451" t="s">
        <v>4027</v>
      </c>
      <c r="I451" t="s">
        <v>4028</v>
      </c>
      <c r="J451" s="109">
        <v>8333</v>
      </c>
      <c r="K451" s="34">
        <f t="shared" si="12"/>
        <v>4966.4679999999998</v>
      </c>
      <c r="L451" t="s">
        <v>4139</v>
      </c>
    </row>
    <row r="452" spans="1:12" x14ac:dyDescent="0.25">
      <c r="B452" s="53" t="s">
        <v>4351</v>
      </c>
      <c r="C452" s="132" t="s">
        <v>4367</v>
      </c>
      <c r="D452" s="7" t="s">
        <v>4128</v>
      </c>
      <c r="E452" s="7" t="s">
        <v>4116</v>
      </c>
      <c r="F452" s="7" t="s">
        <v>4445</v>
      </c>
      <c r="G452" s="7" t="s">
        <v>5004</v>
      </c>
      <c r="H452" t="s">
        <v>4027</v>
      </c>
      <c r="I452" t="s">
        <v>4028</v>
      </c>
      <c r="J452" s="109">
        <v>6503</v>
      </c>
      <c r="K452" s="34">
        <f t="shared" si="12"/>
        <v>3875.788</v>
      </c>
      <c r="L452" t="s">
        <v>4139</v>
      </c>
    </row>
    <row r="453" spans="1:12" x14ac:dyDescent="0.25">
      <c r="B453" s="53" t="s">
        <v>4352</v>
      </c>
      <c r="C453" s="132" t="s">
        <v>4367</v>
      </c>
      <c r="D453" s="7" t="s">
        <v>4129</v>
      </c>
      <c r="E453" s="7" t="s">
        <v>4116</v>
      </c>
      <c r="F453" s="7" t="s">
        <v>4446</v>
      </c>
      <c r="G453" s="7" t="s">
        <v>5004</v>
      </c>
      <c r="H453" t="s">
        <v>4027</v>
      </c>
      <c r="I453" t="s">
        <v>4028</v>
      </c>
      <c r="J453" s="109">
        <v>6503</v>
      </c>
      <c r="K453" s="34">
        <f t="shared" si="12"/>
        <v>3875.788</v>
      </c>
      <c r="L453" t="s">
        <v>4139</v>
      </c>
    </row>
    <row r="454" spans="1:12" x14ac:dyDescent="0.25">
      <c r="B454" s="53" t="s">
        <v>4353</v>
      </c>
      <c r="C454" s="132" t="s">
        <v>4367</v>
      </c>
      <c r="D454" s="7" t="s">
        <v>4130</v>
      </c>
      <c r="E454" s="7" t="s">
        <v>4116</v>
      </c>
      <c r="F454" s="7" t="s">
        <v>4447</v>
      </c>
      <c r="G454" s="7" t="s">
        <v>5004</v>
      </c>
      <c r="H454" t="s">
        <v>4027</v>
      </c>
      <c r="I454" t="s">
        <v>4028</v>
      </c>
      <c r="J454" s="109">
        <v>6503</v>
      </c>
      <c r="K454" s="34">
        <f t="shared" si="12"/>
        <v>3875.788</v>
      </c>
      <c r="L454" t="s">
        <v>4139</v>
      </c>
    </row>
    <row r="455" spans="1:12" x14ac:dyDescent="0.25">
      <c r="B455" s="53" t="s">
        <v>4354</v>
      </c>
      <c r="C455" s="132" t="s">
        <v>4367</v>
      </c>
      <c r="D455" s="7" t="s">
        <v>4131</v>
      </c>
      <c r="E455" s="7" t="s">
        <v>4116</v>
      </c>
      <c r="F455" s="7" t="s">
        <v>4448</v>
      </c>
      <c r="G455" s="7" t="s">
        <v>5004</v>
      </c>
      <c r="H455" t="s">
        <v>4027</v>
      </c>
      <c r="I455" t="s">
        <v>4028</v>
      </c>
      <c r="J455" s="109">
        <v>6766</v>
      </c>
      <c r="K455" s="34">
        <f t="shared" si="12"/>
        <v>4032.5359999999996</v>
      </c>
      <c r="L455" t="s">
        <v>4139</v>
      </c>
    </row>
    <row r="456" spans="1:12" x14ac:dyDescent="0.25">
      <c r="B456" s="53" t="s">
        <v>4355</v>
      </c>
      <c r="C456" s="132" t="s">
        <v>4367</v>
      </c>
      <c r="D456" s="7" t="s">
        <v>4132</v>
      </c>
      <c r="E456" s="7" t="s">
        <v>4116</v>
      </c>
      <c r="F456" s="7" t="s">
        <v>4449</v>
      </c>
      <c r="G456" s="7" t="s">
        <v>5004</v>
      </c>
      <c r="H456" t="s">
        <v>4027</v>
      </c>
      <c r="I456" t="s">
        <v>4028</v>
      </c>
      <c r="J456" s="109">
        <v>6766</v>
      </c>
      <c r="K456" s="34">
        <f t="shared" si="12"/>
        <v>4032.5359999999996</v>
      </c>
      <c r="L456" t="s">
        <v>4139</v>
      </c>
    </row>
    <row r="457" spans="1:12" x14ac:dyDescent="0.25">
      <c r="B457" s="53" t="s">
        <v>4356</v>
      </c>
      <c r="C457" s="132" t="s">
        <v>4367</v>
      </c>
      <c r="D457" s="7" t="s">
        <v>4133</v>
      </c>
      <c r="E457" s="7" t="s">
        <v>4116</v>
      </c>
      <c r="F457" s="7" t="s">
        <v>4450</v>
      </c>
      <c r="G457" s="7" t="s">
        <v>5004</v>
      </c>
      <c r="H457" t="s">
        <v>4027</v>
      </c>
      <c r="I457" t="s">
        <v>4028</v>
      </c>
      <c r="J457" s="109">
        <v>6766</v>
      </c>
      <c r="K457" s="34">
        <f t="shared" si="12"/>
        <v>4032.5359999999996</v>
      </c>
      <c r="L457" t="s">
        <v>4139</v>
      </c>
    </row>
    <row r="458" spans="1:12" x14ac:dyDescent="0.25">
      <c r="B458" s="53" t="s">
        <v>4357</v>
      </c>
      <c r="C458" s="132" t="s">
        <v>4367</v>
      </c>
      <c r="D458" s="7" t="s">
        <v>4134</v>
      </c>
      <c r="E458" s="7" t="s">
        <v>4116</v>
      </c>
      <c r="F458" s="7" t="s">
        <v>4451</v>
      </c>
      <c r="G458" s="7" t="s">
        <v>5004</v>
      </c>
      <c r="H458" t="s">
        <v>4027</v>
      </c>
      <c r="I458" t="s">
        <v>4028</v>
      </c>
      <c r="J458" s="109">
        <v>6766</v>
      </c>
      <c r="K458" s="34">
        <f t="shared" si="12"/>
        <v>4032.5359999999996</v>
      </c>
      <c r="L458" t="s">
        <v>4139</v>
      </c>
    </row>
    <row r="459" spans="1:12" x14ac:dyDescent="0.25">
      <c r="B459" s="53" t="s">
        <v>4358</v>
      </c>
      <c r="C459" s="132" t="s">
        <v>4367</v>
      </c>
      <c r="D459" s="7" t="s">
        <v>4135</v>
      </c>
      <c r="E459" s="7" t="s">
        <v>4116</v>
      </c>
      <c r="F459" s="7" t="s">
        <v>4452</v>
      </c>
      <c r="G459" s="7" t="s">
        <v>5003</v>
      </c>
      <c r="H459" t="s">
        <v>4027</v>
      </c>
      <c r="I459" t="s">
        <v>4028</v>
      </c>
      <c r="J459" s="109">
        <v>8333</v>
      </c>
      <c r="K459" s="34">
        <f t="shared" si="12"/>
        <v>4966.4679999999998</v>
      </c>
      <c r="L459" t="s">
        <v>4139</v>
      </c>
    </row>
    <row r="460" spans="1:12" x14ac:dyDescent="0.25">
      <c r="B460" s="53" t="s">
        <v>4359</v>
      </c>
      <c r="C460" s="132" t="s">
        <v>4367</v>
      </c>
      <c r="D460" s="7" t="s">
        <v>4136</v>
      </c>
      <c r="E460" s="7" t="s">
        <v>4116</v>
      </c>
      <c r="F460" s="7" t="s">
        <v>4453</v>
      </c>
      <c r="G460" s="7" t="s">
        <v>5003</v>
      </c>
      <c r="H460" t="s">
        <v>4027</v>
      </c>
      <c r="I460" t="s">
        <v>4028</v>
      </c>
      <c r="J460" s="109">
        <v>8333</v>
      </c>
      <c r="K460" s="34">
        <f t="shared" si="12"/>
        <v>4966.4679999999998</v>
      </c>
      <c r="L460" t="s">
        <v>4139</v>
      </c>
    </row>
    <row r="461" spans="1:12" x14ac:dyDescent="0.25">
      <c r="B461" s="53" t="s">
        <v>4360</v>
      </c>
      <c r="C461" s="132" t="s">
        <v>4367</v>
      </c>
      <c r="D461" s="7" t="s">
        <v>4137</v>
      </c>
      <c r="E461" s="7" t="s">
        <v>4116</v>
      </c>
      <c r="F461" s="7" t="s">
        <v>4454</v>
      </c>
      <c r="G461" s="7" t="s">
        <v>5003</v>
      </c>
      <c r="H461" t="s">
        <v>4027</v>
      </c>
      <c r="I461" t="s">
        <v>4028</v>
      </c>
      <c r="J461" s="109">
        <v>8333</v>
      </c>
      <c r="K461" s="34">
        <f t="shared" si="12"/>
        <v>4966.4679999999998</v>
      </c>
      <c r="L461" t="s">
        <v>4139</v>
      </c>
    </row>
    <row r="462" spans="1:12" x14ac:dyDescent="0.25">
      <c r="B462" s="53" t="s">
        <v>4361</v>
      </c>
      <c r="C462" s="132" t="s">
        <v>4367</v>
      </c>
      <c r="D462" s="7" t="s">
        <v>687</v>
      </c>
      <c r="E462" s="7" t="s">
        <v>4116</v>
      </c>
      <c r="F462" s="7" t="s">
        <v>4455</v>
      </c>
      <c r="G462" s="7" t="s">
        <v>5003</v>
      </c>
      <c r="H462" t="s">
        <v>4027</v>
      </c>
      <c r="I462" t="s">
        <v>4028</v>
      </c>
      <c r="J462" s="109">
        <v>8333</v>
      </c>
      <c r="K462" s="34">
        <f t="shared" si="12"/>
        <v>4966.4679999999998</v>
      </c>
      <c r="L462" t="s">
        <v>4139</v>
      </c>
    </row>
    <row r="463" spans="1:12" s="62" customFormat="1" x14ac:dyDescent="0.25">
      <c r="A463" s="62" t="s">
        <v>5001</v>
      </c>
      <c r="B463" s="81" t="s">
        <v>4116</v>
      </c>
      <c r="C463" s="134"/>
      <c r="J463" s="108"/>
      <c r="K463" s="65"/>
    </row>
    <row r="464" spans="1:12" x14ac:dyDescent="0.25">
      <c r="B464" s="53" t="s">
        <v>4456</v>
      </c>
      <c r="C464" s="132" t="s">
        <v>4720</v>
      </c>
      <c r="D464" s="7" t="s">
        <v>124</v>
      </c>
      <c r="E464" s="7" t="s">
        <v>4116</v>
      </c>
      <c r="F464" s="2" t="s">
        <v>4143</v>
      </c>
      <c r="G464" s="7" t="s">
        <v>5004</v>
      </c>
      <c r="J464" s="131">
        <v>6465</v>
      </c>
      <c r="K464" s="34">
        <f t="shared" si="12"/>
        <v>3853.14</v>
      </c>
      <c r="L464" t="s">
        <v>4139</v>
      </c>
    </row>
    <row r="465" spans="2:12" x14ac:dyDescent="0.25">
      <c r="B465" s="53" t="s">
        <v>4457</v>
      </c>
      <c r="C465" s="132" t="s">
        <v>4720</v>
      </c>
      <c r="D465" s="7" t="s">
        <v>125</v>
      </c>
      <c r="E465" s="7" t="s">
        <v>4116</v>
      </c>
      <c r="F465" s="7" t="s">
        <v>4142</v>
      </c>
      <c r="G465" s="7" t="s">
        <v>5004</v>
      </c>
      <c r="J465" s="131">
        <v>6465</v>
      </c>
      <c r="K465" s="34">
        <f t="shared" si="12"/>
        <v>3853.14</v>
      </c>
      <c r="L465" t="s">
        <v>4139</v>
      </c>
    </row>
    <row r="466" spans="2:12" x14ac:dyDescent="0.25">
      <c r="B466" s="53" t="s">
        <v>4458</v>
      </c>
      <c r="C466" s="132" t="s">
        <v>4720</v>
      </c>
      <c r="D466" s="7" t="s">
        <v>126</v>
      </c>
      <c r="E466" s="7" t="s">
        <v>4116</v>
      </c>
      <c r="F466" s="7" t="s">
        <v>4141</v>
      </c>
      <c r="G466" s="7" t="s">
        <v>5004</v>
      </c>
      <c r="J466" s="131">
        <v>6465</v>
      </c>
      <c r="K466" s="34">
        <f t="shared" si="12"/>
        <v>3853.14</v>
      </c>
      <c r="L466" t="s">
        <v>4139</v>
      </c>
    </row>
    <row r="467" spans="2:12" x14ac:dyDescent="0.25">
      <c r="B467" s="53" t="s">
        <v>4459</v>
      </c>
      <c r="C467" s="132" t="s">
        <v>4720</v>
      </c>
      <c r="D467" s="7" t="s">
        <v>127</v>
      </c>
      <c r="E467" s="7" t="s">
        <v>4116</v>
      </c>
      <c r="F467" s="7" t="s">
        <v>4144</v>
      </c>
      <c r="G467" s="7" t="s">
        <v>5004</v>
      </c>
      <c r="J467" s="131">
        <v>6372</v>
      </c>
      <c r="K467" s="34">
        <f t="shared" si="12"/>
        <v>3797.712</v>
      </c>
      <c r="L467" t="s">
        <v>4139</v>
      </c>
    </row>
    <row r="468" spans="2:12" x14ac:dyDescent="0.25">
      <c r="B468" s="53" t="s">
        <v>4460</v>
      </c>
      <c r="C468" s="132" t="s">
        <v>4720</v>
      </c>
      <c r="D468" s="7" t="s">
        <v>128</v>
      </c>
      <c r="E468" s="7" t="s">
        <v>4116</v>
      </c>
      <c r="F468" s="7" t="s">
        <v>4148</v>
      </c>
      <c r="G468" s="7" t="s">
        <v>5004</v>
      </c>
      <c r="J468" s="131">
        <v>6372</v>
      </c>
      <c r="K468" s="34">
        <f t="shared" si="12"/>
        <v>3797.712</v>
      </c>
      <c r="L468" t="s">
        <v>4139</v>
      </c>
    </row>
    <row r="469" spans="2:12" x14ac:dyDescent="0.25">
      <c r="B469" s="53" t="s">
        <v>4461</v>
      </c>
      <c r="C469" s="132" t="s">
        <v>4720</v>
      </c>
      <c r="D469" s="7" t="s">
        <v>129</v>
      </c>
      <c r="E469" s="7" t="s">
        <v>4116</v>
      </c>
      <c r="F469" s="7" t="s">
        <v>4150</v>
      </c>
      <c r="G469" s="7" t="s">
        <v>5004</v>
      </c>
      <c r="J469" s="131">
        <v>6372</v>
      </c>
      <c r="K469" s="34">
        <f t="shared" si="12"/>
        <v>3797.712</v>
      </c>
      <c r="L469" t="s">
        <v>4139</v>
      </c>
    </row>
    <row r="470" spans="2:12" x14ac:dyDescent="0.25">
      <c r="B470" s="53" t="s">
        <v>4462</v>
      </c>
      <c r="C470" s="132" t="s">
        <v>4720</v>
      </c>
      <c r="D470" s="7" t="s">
        <v>130</v>
      </c>
      <c r="E470" s="7" t="s">
        <v>4116</v>
      </c>
      <c r="F470" s="7" t="s">
        <v>4149</v>
      </c>
      <c r="G470" s="7" t="s">
        <v>5004</v>
      </c>
      <c r="J470" s="131">
        <v>6372</v>
      </c>
      <c r="K470" s="34">
        <f t="shared" si="12"/>
        <v>3797.712</v>
      </c>
      <c r="L470" t="s">
        <v>4139</v>
      </c>
    </row>
    <row r="471" spans="2:12" x14ac:dyDescent="0.25">
      <c r="B471" s="53" t="s">
        <v>4463</v>
      </c>
      <c r="C471" s="132" t="s">
        <v>4720</v>
      </c>
      <c r="D471" s="7" t="s">
        <v>142</v>
      </c>
      <c r="E471" s="7" t="s">
        <v>4116</v>
      </c>
      <c r="F471" s="7" t="s">
        <v>4151</v>
      </c>
      <c r="G471" s="7" t="s">
        <v>5003</v>
      </c>
      <c r="J471" s="131">
        <v>8255</v>
      </c>
      <c r="K471" s="34">
        <f t="shared" si="12"/>
        <v>4919.9799999999996</v>
      </c>
      <c r="L471" t="s">
        <v>4139</v>
      </c>
    </row>
    <row r="472" spans="2:12" x14ac:dyDescent="0.25">
      <c r="B472" s="53" t="s">
        <v>4464</v>
      </c>
      <c r="C472" s="132" t="s">
        <v>4720</v>
      </c>
      <c r="D472" s="7" t="s">
        <v>143</v>
      </c>
      <c r="E472" s="7" t="s">
        <v>4116</v>
      </c>
      <c r="F472" s="7" t="s">
        <v>4152</v>
      </c>
      <c r="G472" s="7" t="s">
        <v>5003</v>
      </c>
      <c r="J472" s="131">
        <v>8255</v>
      </c>
      <c r="K472" s="34">
        <f t="shared" si="12"/>
        <v>4919.9799999999996</v>
      </c>
      <c r="L472" t="s">
        <v>4139</v>
      </c>
    </row>
    <row r="473" spans="2:12" x14ac:dyDescent="0.25">
      <c r="B473" s="53" t="s">
        <v>4465</v>
      </c>
      <c r="C473" s="132" t="s">
        <v>4720</v>
      </c>
      <c r="D473" s="7" t="s">
        <v>144</v>
      </c>
      <c r="E473" s="7" t="s">
        <v>4116</v>
      </c>
      <c r="F473" s="7" t="s">
        <v>4153</v>
      </c>
      <c r="G473" s="7" t="s">
        <v>5003</v>
      </c>
      <c r="J473" s="131">
        <v>8255</v>
      </c>
      <c r="K473" s="34">
        <f t="shared" si="12"/>
        <v>4919.9799999999996</v>
      </c>
      <c r="L473" t="s">
        <v>4139</v>
      </c>
    </row>
    <row r="474" spans="2:12" x14ac:dyDescent="0.25">
      <c r="B474" s="53" t="s">
        <v>4466</v>
      </c>
      <c r="C474" s="132" t="s">
        <v>4720</v>
      </c>
      <c r="D474" s="7" t="s">
        <v>145</v>
      </c>
      <c r="E474" s="7" t="s">
        <v>4116</v>
      </c>
      <c r="F474" s="7" t="s">
        <v>4170</v>
      </c>
      <c r="G474" s="7" t="s">
        <v>5003</v>
      </c>
      <c r="J474" s="131">
        <v>8255</v>
      </c>
      <c r="K474" s="34">
        <f t="shared" si="12"/>
        <v>4919.9799999999996</v>
      </c>
      <c r="L474" t="s">
        <v>4139</v>
      </c>
    </row>
    <row r="475" spans="2:12" x14ac:dyDescent="0.25">
      <c r="B475" s="53" t="s">
        <v>4467</v>
      </c>
      <c r="C475" s="132" t="s">
        <v>4720</v>
      </c>
      <c r="D475" s="7" t="s">
        <v>131</v>
      </c>
      <c r="E475" s="7" t="s">
        <v>4116</v>
      </c>
      <c r="F475" s="7" t="s">
        <v>4157</v>
      </c>
      <c r="G475" s="7" t="s">
        <v>5004</v>
      </c>
      <c r="J475" s="131">
        <v>6465</v>
      </c>
      <c r="K475" s="34">
        <f t="shared" si="12"/>
        <v>3853.14</v>
      </c>
      <c r="L475" t="s">
        <v>4139</v>
      </c>
    </row>
    <row r="476" spans="2:12" x14ac:dyDescent="0.25">
      <c r="B476" s="53" t="s">
        <v>4468</v>
      </c>
      <c r="C476" s="132" t="s">
        <v>4720</v>
      </c>
      <c r="D476" s="7" t="s">
        <v>132</v>
      </c>
      <c r="E476" s="7" t="s">
        <v>4116</v>
      </c>
      <c r="F476" s="7" t="s">
        <v>4158</v>
      </c>
      <c r="G476" s="7" t="s">
        <v>5004</v>
      </c>
      <c r="J476" s="131">
        <v>6465</v>
      </c>
      <c r="K476" s="34">
        <f t="shared" si="12"/>
        <v>3853.14</v>
      </c>
      <c r="L476" t="s">
        <v>4139</v>
      </c>
    </row>
    <row r="477" spans="2:12" x14ac:dyDescent="0.25">
      <c r="B477" s="53" t="s">
        <v>4469</v>
      </c>
      <c r="C477" s="132" t="s">
        <v>4720</v>
      </c>
      <c r="D477" s="7" t="s">
        <v>133</v>
      </c>
      <c r="E477" s="7" t="s">
        <v>4116</v>
      </c>
      <c r="F477" s="7" t="s">
        <v>4154</v>
      </c>
      <c r="G477" s="7" t="s">
        <v>5004</v>
      </c>
      <c r="J477" s="131">
        <v>6465</v>
      </c>
      <c r="K477" s="34">
        <f t="shared" si="12"/>
        <v>3853.14</v>
      </c>
      <c r="L477" t="s">
        <v>4139</v>
      </c>
    </row>
    <row r="478" spans="2:12" x14ac:dyDescent="0.25">
      <c r="B478" s="53" t="s">
        <v>4470</v>
      </c>
      <c r="C478" s="132" t="s">
        <v>4720</v>
      </c>
      <c r="D478" s="7" t="s">
        <v>134</v>
      </c>
      <c r="E478" s="7" t="s">
        <v>4116</v>
      </c>
      <c r="F478" s="7" t="s">
        <v>4145</v>
      </c>
      <c r="G478" s="7" t="s">
        <v>5004</v>
      </c>
      <c r="J478" s="131">
        <v>6372</v>
      </c>
      <c r="K478" s="34">
        <f t="shared" si="12"/>
        <v>3797.712</v>
      </c>
      <c r="L478" t="s">
        <v>4139</v>
      </c>
    </row>
    <row r="479" spans="2:12" x14ac:dyDescent="0.25">
      <c r="B479" s="53" t="s">
        <v>4471</v>
      </c>
      <c r="C479" s="132" t="s">
        <v>4720</v>
      </c>
      <c r="D479" s="7" t="s">
        <v>135</v>
      </c>
      <c r="E479" s="7" t="s">
        <v>4116</v>
      </c>
      <c r="F479" s="7" t="s">
        <v>4159</v>
      </c>
      <c r="G479" s="7" t="s">
        <v>5004</v>
      </c>
      <c r="J479" s="131">
        <v>6372</v>
      </c>
      <c r="K479" s="34">
        <f t="shared" si="12"/>
        <v>3797.712</v>
      </c>
      <c r="L479" t="s">
        <v>4139</v>
      </c>
    </row>
    <row r="480" spans="2:12" x14ac:dyDescent="0.25">
      <c r="B480" s="53" t="s">
        <v>4472</v>
      </c>
      <c r="C480" s="132" t="s">
        <v>4720</v>
      </c>
      <c r="D480" s="7" t="s">
        <v>136</v>
      </c>
      <c r="E480" s="7" t="s">
        <v>4116</v>
      </c>
      <c r="F480" s="7" t="s">
        <v>4160</v>
      </c>
      <c r="G480" s="7" t="s">
        <v>5004</v>
      </c>
      <c r="J480" s="131">
        <v>6372</v>
      </c>
      <c r="K480" s="34">
        <f t="shared" si="12"/>
        <v>3797.712</v>
      </c>
      <c r="L480" t="s">
        <v>4139</v>
      </c>
    </row>
    <row r="481" spans="2:12" x14ac:dyDescent="0.25">
      <c r="B481" s="53" t="s">
        <v>4473</v>
      </c>
      <c r="C481" s="132" t="s">
        <v>4720</v>
      </c>
      <c r="D481" s="7" t="s">
        <v>137</v>
      </c>
      <c r="E481" s="7" t="s">
        <v>4116</v>
      </c>
      <c r="F481" s="7" t="s">
        <v>4161</v>
      </c>
      <c r="G481" s="7" t="s">
        <v>5004</v>
      </c>
      <c r="J481" s="131">
        <v>6372</v>
      </c>
      <c r="K481" s="34">
        <f t="shared" si="12"/>
        <v>3797.712</v>
      </c>
      <c r="L481" t="s">
        <v>4139</v>
      </c>
    </row>
    <row r="482" spans="2:12" x14ac:dyDescent="0.25">
      <c r="B482" s="53" t="s">
        <v>4474</v>
      </c>
      <c r="C482" s="132" t="s">
        <v>4720</v>
      </c>
      <c r="D482" s="7" t="s">
        <v>146</v>
      </c>
      <c r="E482" s="7" t="s">
        <v>4116</v>
      </c>
      <c r="F482" s="7" t="s">
        <v>4171</v>
      </c>
      <c r="G482" s="7" t="s">
        <v>5003</v>
      </c>
      <c r="J482" s="131">
        <v>8255</v>
      </c>
      <c r="K482" s="34">
        <f t="shared" si="12"/>
        <v>4919.9799999999996</v>
      </c>
      <c r="L482" t="s">
        <v>4139</v>
      </c>
    </row>
    <row r="483" spans="2:12" x14ac:dyDescent="0.25">
      <c r="B483" s="53" t="s">
        <v>4475</v>
      </c>
      <c r="C483" s="132" t="s">
        <v>4720</v>
      </c>
      <c r="D483" s="7" t="s">
        <v>156</v>
      </c>
      <c r="E483" s="7" t="s">
        <v>4116</v>
      </c>
      <c r="F483" s="7" t="s">
        <v>4172</v>
      </c>
      <c r="G483" s="7" t="s">
        <v>5003</v>
      </c>
      <c r="J483" s="131">
        <v>8255</v>
      </c>
      <c r="K483" s="34">
        <f t="shared" si="12"/>
        <v>4919.9799999999996</v>
      </c>
      <c r="L483" t="s">
        <v>4139</v>
      </c>
    </row>
    <row r="484" spans="2:12" x14ac:dyDescent="0.25">
      <c r="B484" s="53" t="s">
        <v>4476</v>
      </c>
      <c r="C484" s="132" t="s">
        <v>4720</v>
      </c>
      <c r="D484" s="7" t="s">
        <v>148</v>
      </c>
      <c r="E484" s="7" t="s">
        <v>4116</v>
      </c>
      <c r="F484" s="7" t="s">
        <v>4173</v>
      </c>
      <c r="G484" s="7" t="s">
        <v>5003</v>
      </c>
      <c r="J484" s="131">
        <v>8255</v>
      </c>
      <c r="K484" s="34">
        <f t="shared" si="12"/>
        <v>4919.9799999999996</v>
      </c>
      <c r="L484" t="s">
        <v>4139</v>
      </c>
    </row>
    <row r="485" spans="2:12" x14ac:dyDescent="0.25">
      <c r="B485" s="53" t="s">
        <v>4477</v>
      </c>
      <c r="C485" s="132" t="s">
        <v>4720</v>
      </c>
      <c r="D485" s="7" t="s">
        <v>149</v>
      </c>
      <c r="E485" s="7" t="s">
        <v>4116</v>
      </c>
      <c r="F485" s="7" t="s">
        <v>4174</v>
      </c>
      <c r="G485" s="7" t="s">
        <v>5003</v>
      </c>
      <c r="J485" s="131">
        <v>8255</v>
      </c>
      <c r="K485" s="34">
        <f t="shared" si="12"/>
        <v>4919.9799999999996</v>
      </c>
      <c r="L485" t="s">
        <v>4139</v>
      </c>
    </row>
    <row r="486" spans="2:12" x14ac:dyDescent="0.25">
      <c r="B486" s="53" t="s">
        <v>4478</v>
      </c>
      <c r="C486" s="132" t="s">
        <v>4720</v>
      </c>
      <c r="D486" s="7" t="s">
        <v>4118</v>
      </c>
      <c r="E486" s="7" t="s">
        <v>4116</v>
      </c>
      <c r="F486" s="7" t="s">
        <v>4162</v>
      </c>
      <c r="G486" s="7" t="s">
        <v>5004</v>
      </c>
      <c r="J486" s="131">
        <v>6465</v>
      </c>
      <c r="K486" s="34">
        <f t="shared" si="12"/>
        <v>3853.14</v>
      </c>
      <c r="L486" t="s">
        <v>4139</v>
      </c>
    </row>
    <row r="487" spans="2:12" x14ac:dyDescent="0.25">
      <c r="B487" s="53" t="s">
        <v>4479</v>
      </c>
      <c r="C487" s="132" t="s">
        <v>4720</v>
      </c>
      <c r="D487" s="7" t="s">
        <v>4119</v>
      </c>
      <c r="E487" s="7" t="s">
        <v>4116</v>
      </c>
      <c r="F487" s="7" t="s">
        <v>4163</v>
      </c>
      <c r="G487" s="7" t="s">
        <v>5004</v>
      </c>
      <c r="J487" s="131">
        <v>6465</v>
      </c>
      <c r="K487" s="34">
        <f t="shared" si="12"/>
        <v>3853.14</v>
      </c>
      <c r="L487" t="s">
        <v>4139</v>
      </c>
    </row>
    <row r="488" spans="2:12" x14ac:dyDescent="0.25">
      <c r="B488" s="53" t="s">
        <v>4480</v>
      </c>
      <c r="C488" s="132" t="s">
        <v>4720</v>
      </c>
      <c r="D488" s="7" t="s">
        <v>4120</v>
      </c>
      <c r="E488" s="7" t="s">
        <v>4116</v>
      </c>
      <c r="F488" s="7" t="s">
        <v>4155</v>
      </c>
      <c r="G488" s="7" t="s">
        <v>5004</v>
      </c>
      <c r="J488" s="131">
        <v>6465</v>
      </c>
      <c r="K488" s="34">
        <f t="shared" si="12"/>
        <v>3853.14</v>
      </c>
      <c r="L488" t="s">
        <v>4139</v>
      </c>
    </row>
    <row r="489" spans="2:12" x14ac:dyDescent="0.25">
      <c r="B489" s="53" t="s">
        <v>4481</v>
      </c>
      <c r="C489" s="132" t="s">
        <v>4720</v>
      </c>
      <c r="D489" s="7" t="s">
        <v>4121</v>
      </c>
      <c r="E489" s="7" t="s">
        <v>4116</v>
      </c>
      <c r="F489" s="7" t="s">
        <v>4146</v>
      </c>
      <c r="G489" s="7" t="s">
        <v>5004</v>
      </c>
      <c r="J489" s="131">
        <v>6372</v>
      </c>
      <c r="K489" s="34">
        <f t="shared" si="12"/>
        <v>3797.712</v>
      </c>
      <c r="L489" t="s">
        <v>4139</v>
      </c>
    </row>
    <row r="490" spans="2:12" x14ac:dyDescent="0.25">
      <c r="B490" s="53" t="s">
        <v>4482</v>
      </c>
      <c r="C490" s="132" t="s">
        <v>4720</v>
      </c>
      <c r="D490" s="7" t="s">
        <v>4122</v>
      </c>
      <c r="E490" s="7" t="s">
        <v>4116</v>
      </c>
      <c r="F490" s="7" t="s">
        <v>4164</v>
      </c>
      <c r="G490" s="7" t="s">
        <v>5004</v>
      </c>
      <c r="J490" s="131">
        <v>6372</v>
      </c>
      <c r="K490" s="34">
        <f t="shared" si="12"/>
        <v>3797.712</v>
      </c>
      <c r="L490" t="s">
        <v>4139</v>
      </c>
    </row>
    <row r="491" spans="2:12" x14ac:dyDescent="0.25">
      <c r="B491" s="53" t="s">
        <v>4483</v>
      </c>
      <c r="C491" s="132" t="s">
        <v>4720</v>
      </c>
      <c r="D491" s="7" t="s">
        <v>4123</v>
      </c>
      <c r="E491" s="7" t="s">
        <v>4116</v>
      </c>
      <c r="F491" s="7" t="s">
        <v>4165</v>
      </c>
      <c r="G491" s="7" t="s">
        <v>5004</v>
      </c>
      <c r="J491" s="131">
        <v>6372</v>
      </c>
      <c r="K491" s="34">
        <f t="shared" si="12"/>
        <v>3797.712</v>
      </c>
      <c r="L491" t="s">
        <v>4139</v>
      </c>
    </row>
    <row r="492" spans="2:12" x14ac:dyDescent="0.25">
      <c r="B492" s="53" t="s">
        <v>4484</v>
      </c>
      <c r="C492" s="132" t="s">
        <v>4720</v>
      </c>
      <c r="D492" s="7" t="s">
        <v>4124</v>
      </c>
      <c r="E492" s="7" t="s">
        <v>4116</v>
      </c>
      <c r="F492" s="7" t="s">
        <v>4166</v>
      </c>
      <c r="G492" s="7" t="s">
        <v>5004</v>
      </c>
      <c r="J492" s="131">
        <v>6372</v>
      </c>
      <c r="K492" s="34">
        <f t="shared" si="12"/>
        <v>3797.712</v>
      </c>
      <c r="L492" t="s">
        <v>4139</v>
      </c>
    </row>
    <row r="493" spans="2:12" x14ac:dyDescent="0.25">
      <c r="B493" s="53" t="s">
        <v>4485</v>
      </c>
      <c r="C493" s="132" t="s">
        <v>4720</v>
      </c>
      <c r="D493" s="7" t="s">
        <v>4125</v>
      </c>
      <c r="E493" s="7" t="s">
        <v>4116</v>
      </c>
      <c r="F493" s="7" t="s">
        <v>4175</v>
      </c>
      <c r="G493" s="7" t="s">
        <v>5003</v>
      </c>
      <c r="J493" s="131">
        <v>8255</v>
      </c>
      <c r="K493" s="34">
        <f t="shared" si="12"/>
        <v>4919.9799999999996</v>
      </c>
      <c r="L493" t="s">
        <v>4139</v>
      </c>
    </row>
    <row r="494" spans="2:12" x14ac:dyDescent="0.25">
      <c r="B494" s="53" t="s">
        <v>4486</v>
      </c>
      <c r="C494" s="132" t="s">
        <v>4720</v>
      </c>
      <c r="D494" s="7" t="s">
        <v>4126</v>
      </c>
      <c r="E494" s="7" t="s">
        <v>4116</v>
      </c>
      <c r="F494" s="7" t="s">
        <v>4176</v>
      </c>
      <c r="G494" s="7" t="s">
        <v>5003</v>
      </c>
      <c r="J494" s="131">
        <v>8255</v>
      </c>
      <c r="K494" s="34">
        <f t="shared" si="12"/>
        <v>4919.9799999999996</v>
      </c>
      <c r="L494" t="s">
        <v>4139</v>
      </c>
    </row>
    <row r="495" spans="2:12" x14ac:dyDescent="0.25">
      <c r="B495" s="53" t="s">
        <v>4487</v>
      </c>
      <c r="C495" s="132" t="s">
        <v>4720</v>
      </c>
      <c r="D495" s="7" t="s">
        <v>4127</v>
      </c>
      <c r="E495" s="7" t="s">
        <v>4116</v>
      </c>
      <c r="F495" s="7" t="s">
        <v>4177</v>
      </c>
      <c r="G495" s="7" t="s">
        <v>5003</v>
      </c>
      <c r="J495" s="131">
        <v>8255</v>
      </c>
      <c r="K495" s="34">
        <f t="shared" si="12"/>
        <v>4919.9799999999996</v>
      </c>
      <c r="L495" t="s">
        <v>4139</v>
      </c>
    </row>
    <row r="496" spans="2:12" x14ac:dyDescent="0.25">
      <c r="B496" s="53" t="s">
        <v>4488</v>
      </c>
      <c r="C496" s="132" t="s">
        <v>4720</v>
      </c>
      <c r="D496" s="7" t="s">
        <v>674</v>
      </c>
      <c r="E496" s="7" t="s">
        <v>4116</v>
      </c>
      <c r="F496" s="7" t="s">
        <v>4178</v>
      </c>
      <c r="G496" s="7" t="s">
        <v>5003</v>
      </c>
      <c r="J496" s="131">
        <v>8255</v>
      </c>
      <c r="K496" s="34">
        <f t="shared" si="12"/>
        <v>4919.9799999999996</v>
      </c>
      <c r="L496" t="s">
        <v>4139</v>
      </c>
    </row>
    <row r="497" spans="2:12" x14ac:dyDescent="0.25">
      <c r="B497" s="53" t="s">
        <v>4489</v>
      </c>
      <c r="C497" s="132" t="s">
        <v>4720</v>
      </c>
      <c r="D497" s="7" t="s">
        <v>4128</v>
      </c>
      <c r="E497" s="7" t="s">
        <v>4116</v>
      </c>
      <c r="F497" s="7" t="s">
        <v>4167</v>
      </c>
      <c r="G497" s="7" t="s">
        <v>5004</v>
      </c>
      <c r="J497" s="131">
        <v>6465</v>
      </c>
      <c r="K497" s="34">
        <f t="shared" si="12"/>
        <v>3853.14</v>
      </c>
      <c r="L497" t="s">
        <v>4139</v>
      </c>
    </row>
    <row r="498" spans="2:12" x14ac:dyDescent="0.25">
      <c r="B498" s="53" t="s">
        <v>4490</v>
      </c>
      <c r="C498" s="132" t="s">
        <v>4720</v>
      </c>
      <c r="D498" s="7" t="s">
        <v>4129</v>
      </c>
      <c r="E498" s="7" t="s">
        <v>4116</v>
      </c>
      <c r="F498" s="7" t="s">
        <v>4168</v>
      </c>
      <c r="G498" s="7" t="s">
        <v>5004</v>
      </c>
      <c r="J498" s="131">
        <v>6465</v>
      </c>
      <c r="K498" s="34">
        <f t="shared" si="12"/>
        <v>3853.14</v>
      </c>
      <c r="L498" t="s">
        <v>4139</v>
      </c>
    </row>
    <row r="499" spans="2:12" x14ac:dyDescent="0.25">
      <c r="B499" s="53" t="s">
        <v>4491</v>
      </c>
      <c r="C499" s="132" t="s">
        <v>4720</v>
      </c>
      <c r="D499" s="7" t="s">
        <v>4130</v>
      </c>
      <c r="E499" s="7" t="s">
        <v>4116</v>
      </c>
      <c r="F499" s="7" t="s">
        <v>4156</v>
      </c>
      <c r="G499" s="7" t="s">
        <v>5004</v>
      </c>
      <c r="J499" s="131">
        <v>6465</v>
      </c>
      <c r="K499" s="34">
        <f t="shared" si="12"/>
        <v>3853.14</v>
      </c>
      <c r="L499" t="s">
        <v>4139</v>
      </c>
    </row>
    <row r="500" spans="2:12" x14ac:dyDescent="0.25">
      <c r="B500" s="53" t="s">
        <v>4492</v>
      </c>
      <c r="C500" s="132" t="s">
        <v>4720</v>
      </c>
      <c r="D500" s="7" t="s">
        <v>4131</v>
      </c>
      <c r="E500" s="7" t="s">
        <v>4116</v>
      </c>
      <c r="F500" s="7" t="s">
        <v>4147</v>
      </c>
      <c r="G500" s="7" t="s">
        <v>5004</v>
      </c>
      <c r="J500" s="131">
        <v>6372</v>
      </c>
      <c r="K500" s="34">
        <f t="shared" si="12"/>
        <v>3797.712</v>
      </c>
      <c r="L500" t="s">
        <v>4139</v>
      </c>
    </row>
    <row r="501" spans="2:12" x14ac:dyDescent="0.25">
      <c r="B501" s="53" t="s">
        <v>4493</v>
      </c>
      <c r="C501" s="132" t="s">
        <v>4720</v>
      </c>
      <c r="D501" s="7" t="s">
        <v>4132</v>
      </c>
      <c r="E501" s="7" t="s">
        <v>4116</v>
      </c>
      <c r="F501" s="7" t="s">
        <v>4169</v>
      </c>
      <c r="G501" s="7" t="s">
        <v>5004</v>
      </c>
      <c r="J501" s="131">
        <v>6372</v>
      </c>
      <c r="K501" s="34">
        <f t="shared" si="12"/>
        <v>3797.712</v>
      </c>
      <c r="L501" t="s">
        <v>4139</v>
      </c>
    </row>
    <row r="502" spans="2:12" x14ac:dyDescent="0.25">
      <c r="B502" s="53" t="s">
        <v>4494</v>
      </c>
      <c r="C502" s="132" t="s">
        <v>4720</v>
      </c>
      <c r="D502" s="7" t="s">
        <v>4133</v>
      </c>
      <c r="E502" s="7" t="s">
        <v>4116</v>
      </c>
      <c r="F502" s="7" t="s">
        <v>4179</v>
      </c>
      <c r="G502" s="7" t="s">
        <v>5004</v>
      </c>
      <c r="J502" s="131">
        <v>6372</v>
      </c>
      <c r="K502" s="34">
        <f t="shared" si="12"/>
        <v>3797.712</v>
      </c>
      <c r="L502" t="s">
        <v>4139</v>
      </c>
    </row>
    <row r="503" spans="2:12" x14ac:dyDescent="0.25">
      <c r="B503" s="53" t="s">
        <v>4495</v>
      </c>
      <c r="C503" s="132" t="s">
        <v>4720</v>
      </c>
      <c r="D503" s="7" t="s">
        <v>4134</v>
      </c>
      <c r="E503" s="7" t="s">
        <v>4116</v>
      </c>
      <c r="F503" s="7" t="s">
        <v>4180</v>
      </c>
      <c r="G503" s="7" t="s">
        <v>5004</v>
      </c>
      <c r="J503" s="131">
        <v>6372</v>
      </c>
      <c r="K503" s="34">
        <f t="shared" si="12"/>
        <v>3797.712</v>
      </c>
      <c r="L503" t="s">
        <v>4139</v>
      </c>
    </row>
    <row r="504" spans="2:12" x14ac:dyDescent="0.25">
      <c r="B504" s="53" t="s">
        <v>4496</v>
      </c>
      <c r="C504" s="132" t="s">
        <v>4720</v>
      </c>
      <c r="D504" s="7" t="s">
        <v>4135</v>
      </c>
      <c r="E504" s="7" t="s">
        <v>4116</v>
      </c>
      <c r="F504" s="7" t="s">
        <v>4181</v>
      </c>
      <c r="G504" s="7" t="s">
        <v>5003</v>
      </c>
      <c r="J504" s="131">
        <v>8255</v>
      </c>
      <c r="K504" s="34">
        <f t="shared" si="12"/>
        <v>4919.9799999999996</v>
      </c>
      <c r="L504" t="s">
        <v>4139</v>
      </c>
    </row>
    <row r="505" spans="2:12" x14ac:dyDescent="0.25">
      <c r="B505" s="53" t="s">
        <v>4497</v>
      </c>
      <c r="C505" s="132" t="s">
        <v>4720</v>
      </c>
      <c r="D505" s="7" t="s">
        <v>4136</v>
      </c>
      <c r="E505" s="7" t="s">
        <v>4116</v>
      </c>
      <c r="F505" s="7" t="s">
        <v>4182</v>
      </c>
      <c r="G505" s="7" t="s">
        <v>5003</v>
      </c>
      <c r="J505" s="131">
        <v>8255</v>
      </c>
      <c r="K505" s="34">
        <f t="shared" si="12"/>
        <v>4919.9799999999996</v>
      </c>
      <c r="L505" t="s">
        <v>4139</v>
      </c>
    </row>
    <row r="506" spans="2:12" x14ac:dyDescent="0.25">
      <c r="B506" s="53" t="s">
        <v>4498</v>
      </c>
      <c r="C506" s="132" t="s">
        <v>4720</v>
      </c>
      <c r="D506" s="7" t="s">
        <v>4137</v>
      </c>
      <c r="E506" s="7" t="s">
        <v>4116</v>
      </c>
      <c r="F506" s="7" t="s">
        <v>4183</v>
      </c>
      <c r="G506" s="7" t="s">
        <v>5003</v>
      </c>
      <c r="J506" s="131">
        <v>8255</v>
      </c>
      <c r="K506" s="34">
        <f t="shared" si="12"/>
        <v>4919.9799999999996</v>
      </c>
      <c r="L506" t="s">
        <v>4139</v>
      </c>
    </row>
    <row r="507" spans="2:12" x14ac:dyDescent="0.25">
      <c r="B507" s="53" t="s">
        <v>4499</v>
      </c>
      <c r="C507" s="132" t="s">
        <v>4720</v>
      </c>
      <c r="D507" s="7" t="s">
        <v>687</v>
      </c>
      <c r="E507" s="7" t="s">
        <v>4116</v>
      </c>
      <c r="F507" s="7" t="s">
        <v>4184</v>
      </c>
      <c r="G507" s="7" t="s">
        <v>5003</v>
      </c>
      <c r="J507" s="131">
        <v>8255</v>
      </c>
      <c r="K507" s="34">
        <f t="shared" si="12"/>
        <v>4919.9799999999996</v>
      </c>
      <c r="L507" t="s">
        <v>4139</v>
      </c>
    </row>
    <row r="508" spans="2:12" x14ac:dyDescent="0.25">
      <c r="B508" s="53" t="s">
        <v>4500</v>
      </c>
      <c r="C508" s="132" t="s">
        <v>4721</v>
      </c>
      <c r="D508" s="7" t="s">
        <v>124</v>
      </c>
      <c r="E508" s="7" t="s">
        <v>4116</v>
      </c>
      <c r="F508" s="7" t="s">
        <v>4143</v>
      </c>
      <c r="G508" s="7" t="s">
        <v>5004</v>
      </c>
      <c r="J508" s="131">
        <v>6465</v>
      </c>
      <c r="K508" s="34">
        <f t="shared" si="12"/>
        <v>3853.14</v>
      </c>
      <c r="L508" t="s">
        <v>4139</v>
      </c>
    </row>
    <row r="509" spans="2:12" x14ac:dyDescent="0.25">
      <c r="B509" s="53" t="s">
        <v>4501</v>
      </c>
      <c r="C509" s="132" t="s">
        <v>4721</v>
      </c>
      <c r="D509" s="7" t="s">
        <v>125</v>
      </c>
      <c r="E509" s="7" t="s">
        <v>4116</v>
      </c>
      <c r="F509" s="7" t="s">
        <v>4142</v>
      </c>
      <c r="G509" s="7" t="s">
        <v>5004</v>
      </c>
      <c r="J509" s="131">
        <v>6465</v>
      </c>
      <c r="K509" s="34">
        <f t="shared" si="12"/>
        <v>3853.14</v>
      </c>
      <c r="L509" t="s">
        <v>4139</v>
      </c>
    </row>
    <row r="510" spans="2:12" x14ac:dyDescent="0.25">
      <c r="B510" s="53" t="s">
        <v>4502</v>
      </c>
      <c r="C510" s="132" t="s">
        <v>4721</v>
      </c>
      <c r="D510" s="7" t="s">
        <v>126</v>
      </c>
      <c r="E510" s="7" t="s">
        <v>4116</v>
      </c>
      <c r="F510" s="7" t="s">
        <v>4141</v>
      </c>
      <c r="G510" s="7" t="s">
        <v>5004</v>
      </c>
      <c r="J510" s="131">
        <v>6465</v>
      </c>
      <c r="K510" s="34">
        <f t="shared" si="12"/>
        <v>3853.14</v>
      </c>
      <c r="L510" t="s">
        <v>4139</v>
      </c>
    </row>
    <row r="511" spans="2:12" x14ac:dyDescent="0.25">
      <c r="B511" s="53" t="s">
        <v>4503</v>
      </c>
      <c r="C511" s="132" t="s">
        <v>4721</v>
      </c>
      <c r="D511" s="7" t="s">
        <v>127</v>
      </c>
      <c r="E511" s="7" t="s">
        <v>4116</v>
      </c>
      <c r="F511" s="7" t="s">
        <v>4144</v>
      </c>
      <c r="G511" s="7" t="s">
        <v>5004</v>
      </c>
      <c r="J511" s="131">
        <v>6372</v>
      </c>
      <c r="K511" s="34">
        <f t="shared" ref="K511:K574" si="13">J511*0.596</f>
        <v>3797.712</v>
      </c>
      <c r="L511" t="s">
        <v>4139</v>
      </c>
    </row>
    <row r="512" spans="2:12" x14ac:dyDescent="0.25">
      <c r="B512" s="53" t="s">
        <v>4504</v>
      </c>
      <c r="C512" s="132" t="s">
        <v>4721</v>
      </c>
      <c r="D512" s="7" t="s">
        <v>128</v>
      </c>
      <c r="E512" s="7" t="s">
        <v>4116</v>
      </c>
      <c r="F512" s="7" t="s">
        <v>4148</v>
      </c>
      <c r="G512" s="7" t="s">
        <v>5004</v>
      </c>
      <c r="J512" s="131">
        <v>6372</v>
      </c>
      <c r="K512" s="34">
        <f t="shared" si="13"/>
        <v>3797.712</v>
      </c>
      <c r="L512" t="s">
        <v>4139</v>
      </c>
    </row>
    <row r="513" spans="2:12" x14ac:dyDescent="0.25">
      <c r="B513" s="53" t="s">
        <v>4505</v>
      </c>
      <c r="C513" s="132" t="s">
        <v>4721</v>
      </c>
      <c r="D513" s="7" t="s">
        <v>129</v>
      </c>
      <c r="E513" s="7" t="s">
        <v>4116</v>
      </c>
      <c r="F513" s="7" t="s">
        <v>4150</v>
      </c>
      <c r="G513" s="7" t="s">
        <v>5004</v>
      </c>
      <c r="J513" s="131">
        <v>6372</v>
      </c>
      <c r="K513" s="34">
        <f t="shared" si="13"/>
        <v>3797.712</v>
      </c>
      <c r="L513" t="s">
        <v>4139</v>
      </c>
    </row>
    <row r="514" spans="2:12" x14ac:dyDescent="0.25">
      <c r="B514" s="53" t="s">
        <v>4506</v>
      </c>
      <c r="C514" s="132" t="s">
        <v>4721</v>
      </c>
      <c r="D514" s="7" t="s">
        <v>130</v>
      </c>
      <c r="E514" s="7" t="s">
        <v>4116</v>
      </c>
      <c r="F514" s="7" t="s">
        <v>4149</v>
      </c>
      <c r="G514" s="7" t="s">
        <v>5004</v>
      </c>
      <c r="J514" s="131">
        <v>6372</v>
      </c>
      <c r="K514" s="34">
        <f t="shared" si="13"/>
        <v>3797.712</v>
      </c>
      <c r="L514" t="s">
        <v>4139</v>
      </c>
    </row>
    <row r="515" spans="2:12" x14ac:dyDescent="0.25">
      <c r="B515" s="53" t="s">
        <v>4507</v>
      </c>
      <c r="C515" s="132" t="s">
        <v>4721</v>
      </c>
      <c r="D515" s="7" t="s">
        <v>142</v>
      </c>
      <c r="E515" s="7" t="s">
        <v>4116</v>
      </c>
      <c r="F515" s="7" t="s">
        <v>4151</v>
      </c>
      <c r="G515" s="7" t="s">
        <v>5003</v>
      </c>
      <c r="J515" s="131">
        <v>8255</v>
      </c>
      <c r="K515" s="34">
        <f t="shared" si="13"/>
        <v>4919.9799999999996</v>
      </c>
      <c r="L515" t="s">
        <v>4139</v>
      </c>
    </row>
    <row r="516" spans="2:12" x14ac:dyDescent="0.25">
      <c r="B516" s="53" t="s">
        <v>4508</v>
      </c>
      <c r="C516" s="132" t="s">
        <v>4721</v>
      </c>
      <c r="D516" s="7" t="s">
        <v>143</v>
      </c>
      <c r="E516" s="7" t="s">
        <v>4116</v>
      </c>
      <c r="F516" s="7" t="s">
        <v>4152</v>
      </c>
      <c r="G516" s="7" t="s">
        <v>5003</v>
      </c>
      <c r="J516" s="131">
        <v>8255</v>
      </c>
      <c r="K516" s="34">
        <f t="shared" si="13"/>
        <v>4919.9799999999996</v>
      </c>
      <c r="L516" t="s">
        <v>4139</v>
      </c>
    </row>
    <row r="517" spans="2:12" x14ac:dyDescent="0.25">
      <c r="B517" s="53" t="s">
        <v>4509</v>
      </c>
      <c r="C517" s="132" t="s">
        <v>4721</v>
      </c>
      <c r="D517" s="7" t="s">
        <v>144</v>
      </c>
      <c r="E517" s="7" t="s">
        <v>4116</v>
      </c>
      <c r="F517" s="7" t="s">
        <v>4153</v>
      </c>
      <c r="G517" s="7" t="s">
        <v>5003</v>
      </c>
      <c r="J517" s="131">
        <v>8255</v>
      </c>
      <c r="K517" s="34">
        <f t="shared" si="13"/>
        <v>4919.9799999999996</v>
      </c>
      <c r="L517" t="s">
        <v>4139</v>
      </c>
    </row>
    <row r="518" spans="2:12" x14ac:dyDescent="0.25">
      <c r="B518" s="53" t="s">
        <v>4510</v>
      </c>
      <c r="C518" s="132" t="s">
        <v>4721</v>
      </c>
      <c r="D518" s="7" t="s">
        <v>145</v>
      </c>
      <c r="E518" s="7" t="s">
        <v>4116</v>
      </c>
      <c r="F518" s="7" t="s">
        <v>4170</v>
      </c>
      <c r="G518" s="7" t="s">
        <v>5003</v>
      </c>
      <c r="J518" s="131">
        <v>8255</v>
      </c>
      <c r="K518" s="34">
        <f t="shared" si="13"/>
        <v>4919.9799999999996</v>
      </c>
      <c r="L518" t="s">
        <v>4139</v>
      </c>
    </row>
    <row r="519" spans="2:12" x14ac:dyDescent="0.25">
      <c r="B519" s="53" t="s">
        <v>4511</v>
      </c>
      <c r="C519" s="132" t="s">
        <v>4721</v>
      </c>
      <c r="D519" s="7" t="s">
        <v>131</v>
      </c>
      <c r="E519" s="7" t="s">
        <v>4116</v>
      </c>
      <c r="F519" s="7" t="s">
        <v>4157</v>
      </c>
      <c r="G519" s="7" t="s">
        <v>5004</v>
      </c>
      <c r="J519" s="131">
        <v>6465</v>
      </c>
      <c r="K519" s="34">
        <f t="shared" si="13"/>
        <v>3853.14</v>
      </c>
      <c r="L519" t="s">
        <v>4139</v>
      </c>
    </row>
    <row r="520" spans="2:12" x14ac:dyDescent="0.25">
      <c r="B520" s="53" t="s">
        <v>4512</v>
      </c>
      <c r="C520" s="132" t="s">
        <v>4721</v>
      </c>
      <c r="D520" s="7" t="s">
        <v>132</v>
      </c>
      <c r="E520" s="7" t="s">
        <v>4116</v>
      </c>
      <c r="F520" s="7" t="s">
        <v>4158</v>
      </c>
      <c r="G520" s="7" t="s">
        <v>5004</v>
      </c>
      <c r="J520" s="131">
        <v>6465</v>
      </c>
      <c r="K520" s="34">
        <f t="shared" si="13"/>
        <v>3853.14</v>
      </c>
      <c r="L520" t="s">
        <v>4139</v>
      </c>
    </row>
    <row r="521" spans="2:12" x14ac:dyDescent="0.25">
      <c r="B521" s="53" t="s">
        <v>4513</v>
      </c>
      <c r="C521" s="132" t="s">
        <v>4721</v>
      </c>
      <c r="D521" s="7" t="s">
        <v>133</v>
      </c>
      <c r="E521" s="7" t="s">
        <v>4116</v>
      </c>
      <c r="F521" s="7" t="s">
        <v>4154</v>
      </c>
      <c r="G521" s="7" t="s">
        <v>5004</v>
      </c>
      <c r="J521" s="131">
        <v>6465</v>
      </c>
      <c r="K521" s="34">
        <f t="shared" si="13"/>
        <v>3853.14</v>
      </c>
      <c r="L521" t="s">
        <v>4139</v>
      </c>
    </row>
    <row r="522" spans="2:12" x14ac:dyDescent="0.25">
      <c r="B522" s="53" t="s">
        <v>4514</v>
      </c>
      <c r="C522" s="132" t="s">
        <v>4721</v>
      </c>
      <c r="D522" s="7" t="s">
        <v>134</v>
      </c>
      <c r="E522" s="7" t="s">
        <v>4116</v>
      </c>
      <c r="F522" s="7" t="s">
        <v>4145</v>
      </c>
      <c r="G522" s="7" t="s">
        <v>5004</v>
      </c>
      <c r="J522" s="131">
        <v>6372</v>
      </c>
      <c r="K522" s="34">
        <f t="shared" si="13"/>
        <v>3797.712</v>
      </c>
      <c r="L522" t="s">
        <v>4139</v>
      </c>
    </row>
    <row r="523" spans="2:12" x14ac:dyDescent="0.25">
      <c r="B523" s="53" t="s">
        <v>4515</v>
      </c>
      <c r="C523" s="132" t="s">
        <v>4721</v>
      </c>
      <c r="D523" s="7" t="s">
        <v>135</v>
      </c>
      <c r="E523" s="7" t="s">
        <v>4116</v>
      </c>
      <c r="F523" s="7" t="s">
        <v>4159</v>
      </c>
      <c r="G523" s="7" t="s">
        <v>5004</v>
      </c>
      <c r="J523" s="131">
        <v>6372</v>
      </c>
      <c r="K523" s="34">
        <f t="shared" si="13"/>
        <v>3797.712</v>
      </c>
      <c r="L523" t="s">
        <v>4139</v>
      </c>
    </row>
    <row r="524" spans="2:12" x14ac:dyDescent="0.25">
      <c r="B524" s="53" t="s">
        <v>4516</v>
      </c>
      <c r="C524" s="132" t="s">
        <v>4721</v>
      </c>
      <c r="D524" s="7" t="s">
        <v>136</v>
      </c>
      <c r="E524" s="7" t="s">
        <v>4116</v>
      </c>
      <c r="F524" s="7" t="s">
        <v>4160</v>
      </c>
      <c r="G524" s="7" t="s">
        <v>5004</v>
      </c>
      <c r="J524" s="131">
        <v>6372</v>
      </c>
      <c r="K524" s="34">
        <f t="shared" si="13"/>
        <v>3797.712</v>
      </c>
      <c r="L524" t="s">
        <v>4139</v>
      </c>
    </row>
    <row r="525" spans="2:12" x14ac:dyDescent="0.25">
      <c r="B525" s="53" t="s">
        <v>4517</v>
      </c>
      <c r="C525" s="132" t="s">
        <v>4721</v>
      </c>
      <c r="D525" s="7" t="s">
        <v>137</v>
      </c>
      <c r="E525" s="7" t="s">
        <v>4116</v>
      </c>
      <c r="F525" s="7" t="s">
        <v>4161</v>
      </c>
      <c r="G525" s="7" t="s">
        <v>5004</v>
      </c>
      <c r="J525" s="131">
        <v>6372</v>
      </c>
      <c r="K525" s="34">
        <f t="shared" si="13"/>
        <v>3797.712</v>
      </c>
      <c r="L525" t="s">
        <v>4139</v>
      </c>
    </row>
    <row r="526" spans="2:12" x14ac:dyDescent="0.25">
      <c r="B526" s="53" t="s">
        <v>4518</v>
      </c>
      <c r="C526" s="132" t="s">
        <v>4721</v>
      </c>
      <c r="D526" s="7" t="s">
        <v>146</v>
      </c>
      <c r="E526" s="7" t="s">
        <v>4116</v>
      </c>
      <c r="F526" s="7" t="s">
        <v>4171</v>
      </c>
      <c r="G526" s="7" t="s">
        <v>5003</v>
      </c>
      <c r="J526" s="131">
        <v>8255</v>
      </c>
      <c r="K526" s="34">
        <f t="shared" si="13"/>
        <v>4919.9799999999996</v>
      </c>
      <c r="L526" t="s">
        <v>4139</v>
      </c>
    </row>
    <row r="527" spans="2:12" x14ac:dyDescent="0.25">
      <c r="B527" s="53" t="s">
        <v>4519</v>
      </c>
      <c r="C527" s="132" t="s">
        <v>4721</v>
      </c>
      <c r="D527" s="7" t="s">
        <v>156</v>
      </c>
      <c r="E527" s="7" t="s">
        <v>4116</v>
      </c>
      <c r="F527" s="7" t="s">
        <v>4172</v>
      </c>
      <c r="G527" s="7" t="s">
        <v>5003</v>
      </c>
      <c r="J527" s="131">
        <v>8255</v>
      </c>
      <c r="K527" s="34">
        <f t="shared" si="13"/>
        <v>4919.9799999999996</v>
      </c>
      <c r="L527" t="s">
        <v>4139</v>
      </c>
    </row>
    <row r="528" spans="2:12" x14ac:dyDescent="0.25">
      <c r="B528" s="53" t="s">
        <v>4520</v>
      </c>
      <c r="C528" s="132" t="s">
        <v>4721</v>
      </c>
      <c r="D528" s="7" t="s">
        <v>148</v>
      </c>
      <c r="E528" s="7" t="s">
        <v>4116</v>
      </c>
      <c r="F528" s="7" t="s">
        <v>4173</v>
      </c>
      <c r="G528" s="7" t="s">
        <v>5003</v>
      </c>
      <c r="J528" s="131">
        <v>8255</v>
      </c>
      <c r="K528" s="34">
        <f t="shared" si="13"/>
        <v>4919.9799999999996</v>
      </c>
      <c r="L528" t="s">
        <v>4139</v>
      </c>
    </row>
    <row r="529" spans="2:12" x14ac:dyDescent="0.25">
      <c r="B529" s="53" t="s">
        <v>4521</v>
      </c>
      <c r="C529" s="132" t="s">
        <v>4721</v>
      </c>
      <c r="D529" s="7" t="s">
        <v>149</v>
      </c>
      <c r="E529" s="7" t="s">
        <v>4116</v>
      </c>
      <c r="F529" s="7" t="s">
        <v>4174</v>
      </c>
      <c r="G529" s="7" t="s">
        <v>5003</v>
      </c>
      <c r="J529" s="131">
        <v>8255</v>
      </c>
      <c r="K529" s="34">
        <f t="shared" si="13"/>
        <v>4919.9799999999996</v>
      </c>
      <c r="L529" t="s">
        <v>4139</v>
      </c>
    </row>
    <row r="530" spans="2:12" x14ac:dyDescent="0.25">
      <c r="B530" s="53" t="s">
        <v>4522</v>
      </c>
      <c r="C530" s="132" t="s">
        <v>4721</v>
      </c>
      <c r="D530" s="7" t="s">
        <v>4118</v>
      </c>
      <c r="E530" s="7" t="s">
        <v>4116</v>
      </c>
      <c r="F530" s="7" t="s">
        <v>4162</v>
      </c>
      <c r="G530" s="7" t="s">
        <v>5004</v>
      </c>
      <c r="J530" s="131">
        <v>6465</v>
      </c>
      <c r="K530" s="34">
        <f t="shared" si="13"/>
        <v>3853.14</v>
      </c>
      <c r="L530" t="s">
        <v>4139</v>
      </c>
    </row>
    <row r="531" spans="2:12" x14ac:dyDescent="0.25">
      <c r="B531" s="53" t="s">
        <v>4523</v>
      </c>
      <c r="C531" s="132" t="s">
        <v>4721</v>
      </c>
      <c r="D531" s="7" t="s">
        <v>4119</v>
      </c>
      <c r="E531" s="7" t="s">
        <v>4116</v>
      </c>
      <c r="F531" s="7" t="s">
        <v>4163</v>
      </c>
      <c r="G531" s="7" t="s">
        <v>5004</v>
      </c>
      <c r="J531" s="131">
        <v>6465</v>
      </c>
      <c r="K531" s="34">
        <f t="shared" si="13"/>
        <v>3853.14</v>
      </c>
      <c r="L531" t="s">
        <v>4139</v>
      </c>
    </row>
    <row r="532" spans="2:12" x14ac:dyDescent="0.25">
      <c r="B532" s="53" t="s">
        <v>4524</v>
      </c>
      <c r="C532" s="132" t="s">
        <v>4721</v>
      </c>
      <c r="D532" s="7" t="s">
        <v>4120</v>
      </c>
      <c r="E532" s="7" t="s">
        <v>4116</v>
      </c>
      <c r="F532" s="7" t="s">
        <v>4155</v>
      </c>
      <c r="G532" s="7" t="s">
        <v>5004</v>
      </c>
      <c r="J532" s="131">
        <v>6465</v>
      </c>
      <c r="K532" s="34">
        <f t="shared" si="13"/>
        <v>3853.14</v>
      </c>
      <c r="L532" t="s">
        <v>4139</v>
      </c>
    </row>
    <row r="533" spans="2:12" x14ac:dyDescent="0.25">
      <c r="B533" s="53" t="s">
        <v>4525</v>
      </c>
      <c r="C533" s="132" t="s">
        <v>4721</v>
      </c>
      <c r="D533" s="7" t="s">
        <v>4121</v>
      </c>
      <c r="E533" s="7" t="s">
        <v>4116</v>
      </c>
      <c r="F533" s="7" t="s">
        <v>4146</v>
      </c>
      <c r="G533" s="7" t="s">
        <v>5004</v>
      </c>
      <c r="J533" s="131">
        <v>6372</v>
      </c>
      <c r="K533" s="34">
        <f t="shared" si="13"/>
        <v>3797.712</v>
      </c>
      <c r="L533" t="s">
        <v>4139</v>
      </c>
    </row>
    <row r="534" spans="2:12" x14ac:dyDescent="0.25">
      <c r="B534" s="53" t="s">
        <v>4526</v>
      </c>
      <c r="C534" s="132" t="s">
        <v>4721</v>
      </c>
      <c r="D534" s="7" t="s">
        <v>4122</v>
      </c>
      <c r="E534" s="7" t="s">
        <v>4116</v>
      </c>
      <c r="F534" s="7" t="s">
        <v>4164</v>
      </c>
      <c r="G534" s="7" t="s">
        <v>5004</v>
      </c>
      <c r="J534" s="131">
        <v>6372</v>
      </c>
      <c r="K534" s="34">
        <f t="shared" si="13"/>
        <v>3797.712</v>
      </c>
      <c r="L534" t="s">
        <v>4139</v>
      </c>
    </row>
    <row r="535" spans="2:12" x14ac:dyDescent="0.25">
      <c r="B535" s="53" t="s">
        <v>4527</v>
      </c>
      <c r="C535" s="132" t="s">
        <v>4721</v>
      </c>
      <c r="D535" s="7" t="s">
        <v>4123</v>
      </c>
      <c r="E535" s="7" t="s">
        <v>4116</v>
      </c>
      <c r="F535" s="7" t="s">
        <v>4165</v>
      </c>
      <c r="G535" s="7" t="s">
        <v>5004</v>
      </c>
      <c r="J535" s="131">
        <v>6372</v>
      </c>
      <c r="K535" s="34">
        <f t="shared" si="13"/>
        <v>3797.712</v>
      </c>
      <c r="L535" t="s">
        <v>4139</v>
      </c>
    </row>
    <row r="536" spans="2:12" x14ac:dyDescent="0.25">
      <c r="B536" s="53" t="s">
        <v>4528</v>
      </c>
      <c r="C536" s="132" t="s">
        <v>4721</v>
      </c>
      <c r="D536" s="7" t="s">
        <v>4124</v>
      </c>
      <c r="E536" s="7" t="s">
        <v>4116</v>
      </c>
      <c r="F536" s="7" t="s">
        <v>4166</v>
      </c>
      <c r="G536" s="7" t="s">
        <v>5004</v>
      </c>
      <c r="J536" s="131">
        <v>6372</v>
      </c>
      <c r="K536" s="34">
        <f t="shared" si="13"/>
        <v>3797.712</v>
      </c>
      <c r="L536" t="s">
        <v>4139</v>
      </c>
    </row>
    <row r="537" spans="2:12" x14ac:dyDescent="0.25">
      <c r="B537" s="53" t="s">
        <v>4529</v>
      </c>
      <c r="C537" s="132" t="s">
        <v>4721</v>
      </c>
      <c r="D537" s="7" t="s">
        <v>4125</v>
      </c>
      <c r="E537" s="7" t="s">
        <v>4116</v>
      </c>
      <c r="F537" s="7" t="s">
        <v>4175</v>
      </c>
      <c r="G537" s="7" t="s">
        <v>5003</v>
      </c>
      <c r="J537" s="131">
        <v>8255</v>
      </c>
      <c r="K537" s="34">
        <f t="shared" si="13"/>
        <v>4919.9799999999996</v>
      </c>
      <c r="L537" t="s">
        <v>4139</v>
      </c>
    </row>
    <row r="538" spans="2:12" x14ac:dyDescent="0.25">
      <c r="B538" s="53" t="s">
        <v>4530</v>
      </c>
      <c r="C538" s="132" t="s">
        <v>4721</v>
      </c>
      <c r="D538" s="7" t="s">
        <v>4126</v>
      </c>
      <c r="E538" s="7" t="s">
        <v>4116</v>
      </c>
      <c r="F538" s="7" t="s">
        <v>4176</v>
      </c>
      <c r="G538" s="7" t="s">
        <v>5003</v>
      </c>
      <c r="J538" s="131">
        <v>8255</v>
      </c>
      <c r="K538" s="34">
        <f t="shared" si="13"/>
        <v>4919.9799999999996</v>
      </c>
      <c r="L538" t="s">
        <v>4139</v>
      </c>
    </row>
    <row r="539" spans="2:12" x14ac:dyDescent="0.25">
      <c r="B539" s="53" t="s">
        <v>4531</v>
      </c>
      <c r="C539" s="132" t="s">
        <v>4721</v>
      </c>
      <c r="D539" s="7" t="s">
        <v>4127</v>
      </c>
      <c r="E539" s="7" t="s">
        <v>4116</v>
      </c>
      <c r="F539" s="7" t="s">
        <v>4177</v>
      </c>
      <c r="G539" s="7" t="s">
        <v>5003</v>
      </c>
      <c r="J539" s="131">
        <v>8255</v>
      </c>
      <c r="K539" s="34">
        <f t="shared" si="13"/>
        <v>4919.9799999999996</v>
      </c>
      <c r="L539" t="s">
        <v>4139</v>
      </c>
    </row>
    <row r="540" spans="2:12" x14ac:dyDescent="0.25">
      <c r="B540" s="53" t="s">
        <v>4532</v>
      </c>
      <c r="C540" s="132" t="s">
        <v>4721</v>
      </c>
      <c r="D540" s="7" t="s">
        <v>674</v>
      </c>
      <c r="E540" s="7" t="s">
        <v>4116</v>
      </c>
      <c r="F540" s="7" t="s">
        <v>4178</v>
      </c>
      <c r="G540" s="7" t="s">
        <v>5003</v>
      </c>
      <c r="J540" s="131">
        <v>8255</v>
      </c>
      <c r="K540" s="34">
        <f t="shared" si="13"/>
        <v>4919.9799999999996</v>
      </c>
      <c r="L540" t="s">
        <v>4139</v>
      </c>
    </row>
    <row r="541" spans="2:12" x14ac:dyDescent="0.25">
      <c r="B541" s="53" t="s">
        <v>4533</v>
      </c>
      <c r="C541" s="132" t="s">
        <v>4721</v>
      </c>
      <c r="D541" s="7" t="s">
        <v>4128</v>
      </c>
      <c r="E541" s="7" t="s">
        <v>4116</v>
      </c>
      <c r="F541" s="7" t="s">
        <v>4167</v>
      </c>
      <c r="G541" s="7" t="s">
        <v>5004</v>
      </c>
      <c r="J541" s="131">
        <v>6465</v>
      </c>
      <c r="K541" s="34">
        <f t="shared" si="13"/>
        <v>3853.14</v>
      </c>
      <c r="L541" t="s">
        <v>4139</v>
      </c>
    </row>
    <row r="542" spans="2:12" x14ac:dyDescent="0.25">
      <c r="B542" s="53" t="s">
        <v>4534</v>
      </c>
      <c r="C542" s="132" t="s">
        <v>4721</v>
      </c>
      <c r="D542" s="7" t="s">
        <v>4129</v>
      </c>
      <c r="E542" s="7" t="s">
        <v>4116</v>
      </c>
      <c r="F542" s="7" t="s">
        <v>4168</v>
      </c>
      <c r="G542" s="7" t="s">
        <v>5004</v>
      </c>
      <c r="J542" s="131">
        <v>6465</v>
      </c>
      <c r="K542" s="34">
        <f t="shared" si="13"/>
        <v>3853.14</v>
      </c>
      <c r="L542" t="s">
        <v>4139</v>
      </c>
    </row>
    <row r="543" spans="2:12" x14ac:dyDescent="0.25">
      <c r="B543" s="53" t="s">
        <v>4535</v>
      </c>
      <c r="C543" s="132" t="s">
        <v>4721</v>
      </c>
      <c r="D543" s="7" t="s">
        <v>4130</v>
      </c>
      <c r="E543" s="7" t="s">
        <v>4116</v>
      </c>
      <c r="F543" s="7" t="s">
        <v>4156</v>
      </c>
      <c r="G543" s="7" t="s">
        <v>5004</v>
      </c>
      <c r="J543" s="131">
        <v>6465</v>
      </c>
      <c r="K543" s="34">
        <f t="shared" si="13"/>
        <v>3853.14</v>
      </c>
      <c r="L543" t="s">
        <v>4139</v>
      </c>
    </row>
    <row r="544" spans="2:12" x14ac:dyDescent="0.25">
      <c r="B544" s="53" t="s">
        <v>4536</v>
      </c>
      <c r="C544" s="132" t="s">
        <v>4721</v>
      </c>
      <c r="D544" s="7" t="s">
        <v>4131</v>
      </c>
      <c r="E544" s="7" t="s">
        <v>4116</v>
      </c>
      <c r="F544" s="7" t="s">
        <v>4147</v>
      </c>
      <c r="G544" s="7" t="s">
        <v>5004</v>
      </c>
      <c r="J544" s="131">
        <v>6372</v>
      </c>
      <c r="K544" s="34">
        <f t="shared" si="13"/>
        <v>3797.712</v>
      </c>
      <c r="L544" t="s">
        <v>4139</v>
      </c>
    </row>
    <row r="545" spans="1:12" x14ac:dyDescent="0.25">
      <c r="B545" s="53" t="s">
        <v>4537</v>
      </c>
      <c r="C545" s="132" t="s">
        <v>4721</v>
      </c>
      <c r="D545" s="7" t="s">
        <v>4132</v>
      </c>
      <c r="E545" s="7" t="s">
        <v>4116</v>
      </c>
      <c r="F545" s="7" t="s">
        <v>4169</v>
      </c>
      <c r="G545" s="7" t="s">
        <v>5004</v>
      </c>
      <c r="J545" s="131">
        <v>6372</v>
      </c>
      <c r="K545" s="34">
        <f t="shared" si="13"/>
        <v>3797.712</v>
      </c>
      <c r="L545" t="s">
        <v>4139</v>
      </c>
    </row>
    <row r="546" spans="1:12" x14ac:dyDescent="0.25">
      <c r="B546" s="53" t="s">
        <v>4538</v>
      </c>
      <c r="C546" s="132" t="s">
        <v>4721</v>
      </c>
      <c r="D546" s="7" t="s">
        <v>4133</v>
      </c>
      <c r="E546" s="7" t="s">
        <v>4116</v>
      </c>
      <c r="F546" s="7" t="s">
        <v>4179</v>
      </c>
      <c r="G546" s="7" t="s">
        <v>5004</v>
      </c>
      <c r="J546" s="131">
        <v>6372</v>
      </c>
      <c r="K546" s="34">
        <f t="shared" si="13"/>
        <v>3797.712</v>
      </c>
      <c r="L546" t="s">
        <v>4139</v>
      </c>
    </row>
    <row r="547" spans="1:12" x14ac:dyDescent="0.25">
      <c r="B547" s="53" t="s">
        <v>4539</v>
      </c>
      <c r="C547" s="132" t="s">
        <v>4721</v>
      </c>
      <c r="D547" s="7" t="s">
        <v>4134</v>
      </c>
      <c r="E547" s="7" t="s">
        <v>4116</v>
      </c>
      <c r="F547" s="7" t="s">
        <v>4180</v>
      </c>
      <c r="G547" s="7" t="s">
        <v>5004</v>
      </c>
      <c r="J547" s="131">
        <v>6372</v>
      </c>
      <c r="K547" s="34">
        <f t="shared" si="13"/>
        <v>3797.712</v>
      </c>
      <c r="L547" t="s">
        <v>4139</v>
      </c>
    </row>
    <row r="548" spans="1:12" x14ac:dyDescent="0.25">
      <c r="B548" s="53" t="s">
        <v>4540</v>
      </c>
      <c r="C548" s="132" t="s">
        <v>4721</v>
      </c>
      <c r="D548" s="7" t="s">
        <v>4135</v>
      </c>
      <c r="E548" s="7" t="s">
        <v>4116</v>
      </c>
      <c r="F548" s="7" t="s">
        <v>4181</v>
      </c>
      <c r="G548" s="7" t="s">
        <v>5003</v>
      </c>
      <c r="J548" s="131">
        <v>8255</v>
      </c>
      <c r="K548" s="34">
        <f t="shared" si="13"/>
        <v>4919.9799999999996</v>
      </c>
      <c r="L548" t="s">
        <v>4139</v>
      </c>
    </row>
    <row r="549" spans="1:12" x14ac:dyDescent="0.25">
      <c r="B549" s="53" t="s">
        <v>4541</v>
      </c>
      <c r="C549" s="132" t="s">
        <v>4721</v>
      </c>
      <c r="D549" s="7" t="s">
        <v>4136</v>
      </c>
      <c r="E549" s="7" t="s">
        <v>4116</v>
      </c>
      <c r="F549" s="7" t="s">
        <v>4182</v>
      </c>
      <c r="G549" s="7" t="s">
        <v>5003</v>
      </c>
      <c r="J549" s="131">
        <v>8255</v>
      </c>
      <c r="K549" s="34">
        <f t="shared" si="13"/>
        <v>4919.9799999999996</v>
      </c>
      <c r="L549" t="s">
        <v>4139</v>
      </c>
    </row>
    <row r="550" spans="1:12" x14ac:dyDescent="0.25">
      <c r="B550" s="53" t="s">
        <v>4542</v>
      </c>
      <c r="C550" s="132" t="s">
        <v>4721</v>
      </c>
      <c r="D550" s="7" t="s">
        <v>4137</v>
      </c>
      <c r="E550" s="7" t="s">
        <v>4116</v>
      </c>
      <c r="F550" s="7" t="s">
        <v>4183</v>
      </c>
      <c r="G550" s="7" t="s">
        <v>5003</v>
      </c>
      <c r="J550" s="131">
        <v>8255</v>
      </c>
      <c r="K550" s="34">
        <f t="shared" si="13"/>
        <v>4919.9799999999996</v>
      </c>
      <c r="L550" t="s">
        <v>4139</v>
      </c>
    </row>
    <row r="551" spans="1:12" x14ac:dyDescent="0.25">
      <c r="B551" s="53" t="s">
        <v>4543</v>
      </c>
      <c r="C551" s="132" t="s">
        <v>4721</v>
      </c>
      <c r="D551" s="7" t="s">
        <v>687</v>
      </c>
      <c r="E551" s="7" t="s">
        <v>4116</v>
      </c>
      <c r="F551" s="7" t="s">
        <v>4184</v>
      </c>
      <c r="G551" s="7" t="s">
        <v>5003</v>
      </c>
      <c r="J551" s="131">
        <v>8255</v>
      </c>
      <c r="K551" s="34">
        <f t="shared" si="13"/>
        <v>4919.9799999999996</v>
      </c>
      <c r="L551" t="s">
        <v>4139</v>
      </c>
    </row>
    <row r="552" spans="1:12" s="62" customFormat="1" x14ac:dyDescent="0.25">
      <c r="A552" s="62" t="s">
        <v>5000</v>
      </c>
      <c r="B552" s="81" t="s">
        <v>4116</v>
      </c>
      <c r="J552" s="135"/>
      <c r="K552" s="65"/>
    </row>
    <row r="553" spans="1:12" x14ac:dyDescent="0.25">
      <c r="B553" s="53" t="s">
        <v>4544</v>
      </c>
      <c r="C553" s="132" t="s">
        <v>4722</v>
      </c>
      <c r="D553" s="7" t="s">
        <v>124</v>
      </c>
      <c r="E553" s="7" t="s">
        <v>4116</v>
      </c>
      <c r="F553" s="2" t="s">
        <v>4368</v>
      </c>
      <c r="G553" s="7" t="s">
        <v>5004</v>
      </c>
      <c r="J553" s="131">
        <v>6503</v>
      </c>
      <c r="K553" s="34">
        <f t="shared" si="13"/>
        <v>3875.788</v>
      </c>
      <c r="L553" t="s">
        <v>4139</v>
      </c>
    </row>
    <row r="554" spans="1:12" x14ac:dyDescent="0.25">
      <c r="B554" s="53" t="s">
        <v>4545</v>
      </c>
      <c r="C554" s="132" t="s">
        <v>4722</v>
      </c>
      <c r="D554" s="7" t="s">
        <v>125</v>
      </c>
      <c r="E554" s="7" t="s">
        <v>4116</v>
      </c>
      <c r="F554" s="7" t="s">
        <v>4369</v>
      </c>
      <c r="G554" s="7" t="s">
        <v>5004</v>
      </c>
      <c r="J554" s="131">
        <v>6503</v>
      </c>
      <c r="K554" s="34">
        <f t="shared" si="13"/>
        <v>3875.788</v>
      </c>
      <c r="L554" t="s">
        <v>4139</v>
      </c>
    </row>
    <row r="555" spans="1:12" x14ac:dyDescent="0.25">
      <c r="B555" s="53" t="s">
        <v>4546</v>
      </c>
      <c r="C555" s="132" t="s">
        <v>4722</v>
      </c>
      <c r="D555" s="7" t="s">
        <v>126</v>
      </c>
      <c r="E555" s="7" t="s">
        <v>4116</v>
      </c>
      <c r="F555" s="7" t="s">
        <v>4370</v>
      </c>
      <c r="G555" s="7" t="s">
        <v>5004</v>
      </c>
      <c r="J555" s="131">
        <v>6503</v>
      </c>
      <c r="K555" s="34">
        <f t="shared" si="13"/>
        <v>3875.788</v>
      </c>
      <c r="L555" t="s">
        <v>4139</v>
      </c>
    </row>
    <row r="556" spans="1:12" x14ac:dyDescent="0.25">
      <c r="B556" s="53" t="s">
        <v>4547</v>
      </c>
      <c r="C556" s="132" t="s">
        <v>4722</v>
      </c>
      <c r="D556" s="7" t="s">
        <v>127</v>
      </c>
      <c r="E556" s="7" t="s">
        <v>4116</v>
      </c>
      <c r="F556" s="7" t="s">
        <v>4371</v>
      </c>
      <c r="G556" s="7" t="s">
        <v>5004</v>
      </c>
      <c r="J556" s="131">
        <v>6766</v>
      </c>
      <c r="K556" s="34">
        <f t="shared" si="13"/>
        <v>4032.5359999999996</v>
      </c>
      <c r="L556" t="s">
        <v>4139</v>
      </c>
    </row>
    <row r="557" spans="1:12" x14ac:dyDescent="0.25">
      <c r="B557" s="53" t="s">
        <v>4548</v>
      </c>
      <c r="C557" s="132" t="s">
        <v>4722</v>
      </c>
      <c r="D557" s="7" t="s">
        <v>128</v>
      </c>
      <c r="E557" s="7" t="s">
        <v>4116</v>
      </c>
      <c r="F557" s="7" t="s">
        <v>4372</v>
      </c>
      <c r="G557" s="7" t="s">
        <v>5004</v>
      </c>
      <c r="J557" s="131">
        <v>6766</v>
      </c>
      <c r="K557" s="34">
        <f t="shared" si="13"/>
        <v>4032.5359999999996</v>
      </c>
      <c r="L557" t="s">
        <v>4139</v>
      </c>
    </row>
    <row r="558" spans="1:12" x14ac:dyDescent="0.25">
      <c r="B558" s="53" t="s">
        <v>4549</v>
      </c>
      <c r="C558" s="132" t="s">
        <v>4722</v>
      </c>
      <c r="D558" s="7" t="s">
        <v>129</v>
      </c>
      <c r="E558" s="7" t="s">
        <v>4116</v>
      </c>
      <c r="F558" s="7" t="s">
        <v>4373</v>
      </c>
      <c r="G558" s="7" t="s">
        <v>5004</v>
      </c>
      <c r="J558" s="131">
        <v>6766</v>
      </c>
      <c r="K558" s="34">
        <f t="shared" si="13"/>
        <v>4032.5359999999996</v>
      </c>
      <c r="L558" t="s">
        <v>4139</v>
      </c>
    </row>
    <row r="559" spans="1:12" x14ac:dyDescent="0.25">
      <c r="B559" s="53" t="s">
        <v>4550</v>
      </c>
      <c r="C559" s="132" t="s">
        <v>4722</v>
      </c>
      <c r="D559" s="7" t="s">
        <v>130</v>
      </c>
      <c r="E559" s="7" t="s">
        <v>4116</v>
      </c>
      <c r="F559" s="7" t="s">
        <v>4374</v>
      </c>
      <c r="G559" s="7" t="s">
        <v>5004</v>
      </c>
      <c r="J559" s="131">
        <v>6766</v>
      </c>
      <c r="K559" s="34">
        <f t="shared" si="13"/>
        <v>4032.5359999999996</v>
      </c>
      <c r="L559" t="s">
        <v>4139</v>
      </c>
    </row>
    <row r="560" spans="1:12" x14ac:dyDescent="0.25">
      <c r="B560" s="53" t="s">
        <v>4551</v>
      </c>
      <c r="C560" s="132" t="s">
        <v>4722</v>
      </c>
      <c r="D560" s="7" t="s">
        <v>142</v>
      </c>
      <c r="E560" s="7" t="s">
        <v>4116</v>
      </c>
      <c r="F560" s="7" t="s">
        <v>4375</v>
      </c>
      <c r="G560" s="7" t="s">
        <v>5003</v>
      </c>
      <c r="J560" s="131">
        <v>8333</v>
      </c>
      <c r="K560" s="34">
        <f t="shared" si="13"/>
        <v>4966.4679999999998</v>
      </c>
      <c r="L560" t="s">
        <v>4139</v>
      </c>
    </row>
    <row r="561" spans="2:12" x14ac:dyDescent="0.25">
      <c r="B561" s="53" t="s">
        <v>4552</v>
      </c>
      <c r="C561" s="132" t="s">
        <v>4722</v>
      </c>
      <c r="D561" s="7" t="s">
        <v>143</v>
      </c>
      <c r="E561" s="7" t="s">
        <v>4116</v>
      </c>
      <c r="F561" s="7" t="s">
        <v>4376</v>
      </c>
      <c r="G561" s="7" t="s">
        <v>5003</v>
      </c>
      <c r="J561" s="131">
        <v>8333</v>
      </c>
      <c r="K561" s="34">
        <f t="shared" si="13"/>
        <v>4966.4679999999998</v>
      </c>
      <c r="L561" t="s">
        <v>4139</v>
      </c>
    </row>
    <row r="562" spans="2:12" x14ac:dyDescent="0.25">
      <c r="B562" s="53" t="s">
        <v>4553</v>
      </c>
      <c r="C562" s="132" t="s">
        <v>4722</v>
      </c>
      <c r="D562" s="7" t="s">
        <v>144</v>
      </c>
      <c r="E562" s="7" t="s">
        <v>4116</v>
      </c>
      <c r="F562" s="7" t="s">
        <v>4377</v>
      </c>
      <c r="G562" s="7" t="s">
        <v>5003</v>
      </c>
      <c r="J562" s="131">
        <v>8333</v>
      </c>
      <c r="K562" s="34">
        <f t="shared" si="13"/>
        <v>4966.4679999999998</v>
      </c>
      <c r="L562" t="s">
        <v>4139</v>
      </c>
    </row>
    <row r="563" spans="2:12" x14ac:dyDescent="0.25">
      <c r="B563" s="53" t="s">
        <v>4554</v>
      </c>
      <c r="C563" s="132" t="s">
        <v>4722</v>
      </c>
      <c r="D563" s="7" t="s">
        <v>145</v>
      </c>
      <c r="E563" s="7" t="s">
        <v>4116</v>
      </c>
      <c r="F563" s="7" t="s">
        <v>4378</v>
      </c>
      <c r="G563" s="7" t="s">
        <v>5003</v>
      </c>
      <c r="J563" s="131">
        <v>8333</v>
      </c>
      <c r="K563" s="34">
        <f t="shared" si="13"/>
        <v>4966.4679999999998</v>
      </c>
      <c r="L563" t="s">
        <v>4139</v>
      </c>
    </row>
    <row r="564" spans="2:12" x14ac:dyDescent="0.25">
      <c r="B564" s="53" t="s">
        <v>4555</v>
      </c>
      <c r="C564" s="132" t="s">
        <v>4722</v>
      </c>
      <c r="D564" s="7" t="s">
        <v>131</v>
      </c>
      <c r="E564" s="7" t="s">
        <v>4116</v>
      </c>
      <c r="F564" s="7" t="s">
        <v>4379</v>
      </c>
      <c r="G564" s="7" t="s">
        <v>5004</v>
      </c>
      <c r="J564" s="131">
        <v>6503</v>
      </c>
      <c r="K564" s="34">
        <f t="shared" si="13"/>
        <v>3875.788</v>
      </c>
      <c r="L564" t="s">
        <v>4139</v>
      </c>
    </row>
    <row r="565" spans="2:12" x14ac:dyDescent="0.25">
      <c r="B565" s="53" t="s">
        <v>4556</v>
      </c>
      <c r="C565" s="132" t="s">
        <v>4722</v>
      </c>
      <c r="D565" s="7" t="s">
        <v>132</v>
      </c>
      <c r="E565" s="7" t="s">
        <v>4116</v>
      </c>
      <c r="F565" s="7" t="s">
        <v>4380</v>
      </c>
      <c r="G565" s="7" t="s">
        <v>5004</v>
      </c>
      <c r="J565" s="131">
        <v>6503</v>
      </c>
      <c r="K565" s="34">
        <f t="shared" si="13"/>
        <v>3875.788</v>
      </c>
      <c r="L565" t="s">
        <v>4139</v>
      </c>
    </row>
    <row r="566" spans="2:12" x14ac:dyDescent="0.25">
      <c r="B566" s="53" t="s">
        <v>4557</v>
      </c>
      <c r="C566" s="132" t="s">
        <v>4722</v>
      </c>
      <c r="D566" s="7" t="s">
        <v>133</v>
      </c>
      <c r="E566" s="7" t="s">
        <v>4116</v>
      </c>
      <c r="F566" s="7" t="s">
        <v>4381</v>
      </c>
      <c r="G566" s="7" t="s">
        <v>5004</v>
      </c>
      <c r="J566" s="131">
        <v>6503</v>
      </c>
      <c r="K566" s="34">
        <f t="shared" si="13"/>
        <v>3875.788</v>
      </c>
      <c r="L566" t="s">
        <v>4139</v>
      </c>
    </row>
    <row r="567" spans="2:12" x14ac:dyDescent="0.25">
      <c r="B567" s="53" t="s">
        <v>4558</v>
      </c>
      <c r="C567" s="132" t="s">
        <v>4722</v>
      </c>
      <c r="D567" s="7" t="s">
        <v>134</v>
      </c>
      <c r="E567" s="7" t="s">
        <v>4116</v>
      </c>
      <c r="F567" s="7" t="s">
        <v>4382</v>
      </c>
      <c r="G567" s="7" t="s">
        <v>5004</v>
      </c>
      <c r="J567" s="131">
        <v>6766</v>
      </c>
      <c r="K567" s="34">
        <f t="shared" si="13"/>
        <v>4032.5359999999996</v>
      </c>
      <c r="L567" t="s">
        <v>4139</v>
      </c>
    </row>
    <row r="568" spans="2:12" x14ac:dyDescent="0.25">
      <c r="B568" s="53" t="s">
        <v>4559</v>
      </c>
      <c r="C568" s="132" t="s">
        <v>4722</v>
      </c>
      <c r="D568" s="7" t="s">
        <v>135</v>
      </c>
      <c r="E568" s="7" t="s">
        <v>4116</v>
      </c>
      <c r="F568" s="7" t="s">
        <v>4383</v>
      </c>
      <c r="G568" s="7" t="s">
        <v>5004</v>
      </c>
      <c r="J568" s="131">
        <v>6766</v>
      </c>
      <c r="K568" s="34">
        <f t="shared" si="13"/>
        <v>4032.5359999999996</v>
      </c>
      <c r="L568" t="s">
        <v>4139</v>
      </c>
    </row>
    <row r="569" spans="2:12" x14ac:dyDescent="0.25">
      <c r="B569" s="53" t="s">
        <v>4560</v>
      </c>
      <c r="C569" s="132" t="s">
        <v>4722</v>
      </c>
      <c r="D569" s="7" t="s">
        <v>136</v>
      </c>
      <c r="E569" s="7" t="s">
        <v>4116</v>
      </c>
      <c r="F569" s="7" t="s">
        <v>4384</v>
      </c>
      <c r="G569" s="7" t="s">
        <v>5004</v>
      </c>
      <c r="J569" s="131">
        <v>6766</v>
      </c>
      <c r="K569" s="34">
        <f t="shared" si="13"/>
        <v>4032.5359999999996</v>
      </c>
      <c r="L569" t="s">
        <v>4139</v>
      </c>
    </row>
    <row r="570" spans="2:12" x14ac:dyDescent="0.25">
      <c r="B570" s="53" t="s">
        <v>4561</v>
      </c>
      <c r="C570" s="132" t="s">
        <v>4722</v>
      </c>
      <c r="D570" s="7" t="s">
        <v>137</v>
      </c>
      <c r="E570" s="7" t="s">
        <v>4116</v>
      </c>
      <c r="F570" s="7" t="s">
        <v>4385</v>
      </c>
      <c r="G570" s="7" t="s">
        <v>5004</v>
      </c>
      <c r="J570" s="131">
        <v>6766</v>
      </c>
      <c r="K570" s="34">
        <f t="shared" si="13"/>
        <v>4032.5359999999996</v>
      </c>
      <c r="L570" t="s">
        <v>4139</v>
      </c>
    </row>
    <row r="571" spans="2:12" x14ac:dyDescent="0.25">
      <c r="B571" s="53" t="s">
        <v>4562</v>
      </c>
      <c r="C571" s="132" t="s">
        <v>4722</v>
      </c>
      <c r="D571" s="7" t="s">
        <v>146</v>
      </c>
      <c r="E571" s="7" t="s">
        <v>4116</v>
      </c>
      <c r="F571" s="7" t="s">
        <v>4386</v>
      </c>
      <c r="G571" s="7" t="s">
        <v>5003</v>
      </c>
      <c r="J571" s="131">
        <v>8333</v>
      </c>
      <c r="K571" s="34">
        <f t="shared" si="13"/>
        <v>4966.4679999999998</v>
      </c>
      <c r="L571" t="s">
        <v>4139</v>
      </c>
    </row>
    <row r="572" spans="2:12" x14ac:dyDescent="0.25">
      <c r="B572" s="53" t="s">
        <v>4563</v>
      </c>
      <c r="C572" s="132" t="s">
        <v>4722</v>
      </c>
      <c r="D572" s="7" t="s">
        <v>156</v>
      </c>
      <c r="E572" s="7" t="s">
        <v>4116</v>
      </c>
      <c r="F572" s="7" t="s">
        <v>4387</v>
      </c>
      <c r="G572" s="7" t="s">
        <v>5003</v>
      </c>
      <c r="J572" s="131">
        <v>8333</v>
      </c>
      <c r="K572" s="34">
        <f t="shared" si="13"/>
        <v>4966.4679999999998</v>
      </c>
      <c r="L572" t="s">
        <v>4139</v>
      </c>
    </row>
    <row r="573" spans="2:12" x14ac:dyDescent="0.25">
      <c r="B573" s="53" t="s">
        <v>4564</v>
      </c>
      <c r="C573" s="132" t="s">
        <v>4722</v>
      </c>
      <c r="D573" s="7" t="s">
        <v>148</v>
      </c>
      <c r="E573" s="7" t="s">
        <v>4116</v>
      </c>
      <c r="F573" s="7" t="s">
        <v>4388</v>
      </c>
      <c r="G573" s="7" t="s">
        <v>5003</v>
      </c>
      <c r="J573" s="131">
        <v>8333</v>
      </c>
      <c r="K573" s="34">
        <f t="shared" si="13"/>
        <v>4966.4679999999998</v>
      </c>
      <c r="L573" t="s">
        <v>4139</v>
      </c>
    </row>
    <row r="574" spans="2:12" x14ac:dyDescent="0.25">
      <c r="B574" s="53" t="s">
        <v>4565</v>
      </c>
      <c r="C574" s="132" t="s">
        <v>4722</v>
      </c>
      <c r="D574" s="7" t="s">
        <v>149</v>
      </c>
      <c r="E574" s="7" t="s">
        <v>4116</v>
      </c>
      <c r="F574" s="7" t="s">
        <v>4389</v>
      </c>
      <c r="G574" s="7" t="s">
        <v>5003</v>
      </c>
      <c r="J574" s="131">
        <v>8333</v>
      </c>
      <c r="K574" s="34">
        <f t="shared" si="13"/>
        <v>4966.4679999999998</v>
      </c>
      <c r="L574" t="s">
        <v>4139</v>
      </c>
    </row>
    <row r="575" spans="2:12" x14ac:dyDescent="0.25">
      <c r="B575" s="53" t="s">
        <v>4566</v>
      </c>
      <c r="C575" s="132" t="s">
        <v>4722</v>
      </c>
      <c r="D575" s="7" t="s">
        <v>4118</v>
      </c>
      <c r="E575" s="7" t="s">
        <v>4116</v>
      </c>
      <c r="F575" s="7" t="s">
        <v>4390</v>
      </c>
      <c r="G575" s="7" t="s">
        <v>5004</v>
      </c>
      <c r="J575" s="131">
        <v>6503</v>
      </c>
      <c r="K575" s="34">
        <f t="shared" ref="K575:K638" si="14">J575*0.596</f>
        <v>3875.788</v>
      </c>
      <c r="L575" t="s">
        <v>4139</v>
      </c>
    </row>
    <row r="576" spans="2:12" x14ac:dyDescent="0.25">
      <c r="B576" s="53" t="s">
        <v>4567</v>
      </c>
      <c r="C576" s="132" t="s">
        <v>4722</v>
      </c>
      <c r="D576" s="7" t="s">
        <v>4119</v>
      </c>
      <c r="E576" s="7" t="s">
        <v>4116</v>
      </c>
      <c r="F576" s="7" t="s">
        <v>4391</v>
      </c>
      <c r="G576" s="7" t="s">
        <v>5004</v>
      </c>
      <c r="J576" s="131">
        <v>6503</v>
      </c>
      <c r="K576" s="34">
        <f t="shared" si="14"/>
        <v>3875.788</v>
      </c>
      <c r="L576" t="s">
        <v>4139</v>
      </c>
    </row>
    <row r="577" spans="2:12" x14ac:dyDescent="0.25">
      <c r="B577" s="53" t="s">
        <v>4568</v>
      </c>
      <c r="C577" s="132" t="s">
        <v>4722</v>
      </c>
      <c r="D577" s="7" t="s">
        <v>4120</v>
      </c>
      <c r="E577" s="7" t="s">
        <v>4116</v>
      </c>
      <c r="F577" s="7" t="s">
        <v>4392</v>
      </c>
      <c r="G577" s="7" t="s">
        <v>5004</v>
      </c>
      <c r="J577" s="131">
        <v>6503</v>
      </c>
      <c r="K577" s="34">
        <f t="shared" si="14"/>
        <v>3875.788</v>
      </c>
      <c r="L577" t="s">
        <v>4139</v>
      </c>
    </row>
    <row r="578" spans="2:12" x14ac:dyDescent="0.25">
      <c r="B578" s="53" t="s">
        <v>4569</v>
      </c>
      <c r="C578" s="132" t="s">
        <v>4722</v>
      </c>
      <c r="D578" s="7" t="s">
        <v>4121</v>
      </c>
      <c r="E578" s="7" t="s">
        <v>4116</v>
      </c>
      <c r="F578" s="7" t="s">
        <v>4393</v>
      </c>
      <c r="G578" s="7" t="s">
        <v>5004</v>
      </c>
      <c r="J578" s="131">
        <v>6766</v>
      </c>
      <c r="K578" s="34">
        <f t="shared" si="14"/>
        <v>4032.5359999999996</v>
      </c>
      <c r="L578" t="s">
        <v>4139</v>
      </c>
    </row>
    <row r="579" spans="2:12" x14ac:dyDescent="0.25">
      <c r="B579" s="53" t="s">
        <v>4570</v>
      </c>
      <c r="C579" s="132" t="s">
        <v>4722</v>
      </c>
      <c r="D579" s="7" t="s">
        <v>4122</v>
      </c>
      <c r="E579" s="7" t="s">
        <v>4116</v>
      </c>
      <c r="F579" s="7" t="s">
        <v>4394</v>
      </c>
      <c r="G579" s="7" t="s">
        <v>5004</v>
      </c>
      <c r="J579" s="131">
        <v>6766</v>
      </c>
      <c r="K579" s="34">
        <f t="shared" si="14"/>
        <v>4032.5359999999996</v>
      </c>
      <c r="L579" t="s">
        <v>4139</v>
      </c>
    </row>
    <row r="580" spans="2:12" x14ac:dyDescent="0.25">
      <c r="B580" s="53" t="s">
        <v>4571</v>
      </c>
      <c r="C580" s="132" t="s">
        <v>4722</v>
      </c>
      <c r="D580" s="7" t="s">
        <v>4123</v>
      </c>
      <c r="E580" s="7" t="s">
        <v>4116</v>
      </c>
      <c r="F580" s="7" t="s">
        <v>4395</v>
      </c>
      <c r="G580" s="7" t="s">
        <v>5004</v>
      </c>
      <c r="J580" s="131">
        <v>6766</v>
      </c>
      <c r="K580" s="34">
        <f t="shared" si="14"/>
        <v>4032.5359999999996</v>
      </c>
      <c r="L580" t="s">
        <v>4139</v>
      </c>
    </row>
    <row r="581" spans="2:12" x14ac:dyDescent="0.25">
      <c r="B581" s="53" t="s">
        <v>4572</v>
      </c>
      <c r="C581" s="132" t="s">
        <v>4722</v>
      </c>
      <c r="D581" s="7" t="s">
        <v>4124</v>
      </c>
      <c r="E581" s="7" t="s">
        <v>4116</v>
      </c>
      <c r="F581" s="7" t="s">
        <v>4396</v>
      </c>
      <c r="G581" s="7" t="s">
        <v>5004</v>
      </c>
      <c r="J581" s="131">
        <v>6766</v>
      </c>
      <c r="K581" s="34">
        <f t="shared" si="14"/>
        <v>4032.5359999999996</v>
      </c>
      <c r="L581" t="s">
        <v>4139</v>
      </c>
    </row>
    <row r="582" spans="2:12" x14ac:dyDescent="0.25">
      <c r="B582" s="53" t="s">
        <v>4573</v>
      </c>
      <c r="C582" s="132" t="s">
        <v>4722</v>
      </c>
      <c r="D582" s="7" t="s">
        <v>4125</v>
      </c>
      <c r="E582" s="7" t="s">
        <v>4116</v>
      </c>
      <c r="F582" s="7" t="s">
        <v>4397</v>
      </c>
      <c r="G582" s="7" t="s">
        <v>5003</v>
      </c>
      <c r="J582" s="131">
        <v>8333</v>
      </c>
      <c r="K582" s="34">
        <f t="shared" si="14"/>
        <v>4966.4679999999998</v>
      </c>
      <c r="L582" t="s">
        <v>4139</v>
      </c>
    </row>
    <row r="583" spans="2:12" x14ac:dyDescent="0.25">
      <c r="B583" s="53" t="s">
        <v>4574</v>
      </c>
      <c r="C583" s="132" t="s">
        <v>4722</v>
      </c>
      <c r="D583" s="7" t="s">
        <v>4126</v>
      </c>
      <c r="E583" s="7" t="s">
        <v>4116</v>
      </c>
      <c r="F583" s="7" t="s">
        <v>4398</v>
      </c>
      <c r="G583" s="7" t="s">
        <v>5003</v>
      </c>
      <c r="J583" s="131">
        <v>8333</v>
      </c>
      <c r="K583" s="34">
        <f t="shared" si="14"/>
        <v>4966.4679999999998</v>
      </c>
      <c r="L583" t="s">
        <v>4139</v>
      </c>
    </row>
    <row r="584" spans="2:12" x14ac:dyDescent="0.25">
      <c r="B584" s="53" t="s">
        <v>4575</v>
      </c>
      <c r="C584" s="132" t="s">
        <v>4722</v>
      </c>
      <c r="D584" s="7" t="s">
        <v>4127</v>
      </c>
      <c r="E584" s="7" t="s">
        <v>4116</v>
      </c>
      <c r="F584" s="7" t="s">
        <v>4399</v>
      </c>
      <c r="G584" s="7" t="s">
        <v>5003</v>
      </c>
      <c r="J584" s="131">
        <v>8333</v>
      </c>
      <c r="K584" s="34">
        <f t="shared" si="14"/>
        <v>4966.4679999999998</v>
      </c>
      <c r="L584" t="s">
        <v>4139</v>
      </c>
    </row>
    <row r="585" spans="2:12" x14ac:dyDescent="0.25">
      <c r="B585" s="53" t="s">
        <v>4576</v>
      </c>
      <c r="C585" s="132" t="s">
        <v>4722</v>
      </c>
      <c r="D585" s="7" t="s">
        <v>674</v>
      </c>
      <c r="E585" s="7" t="s">
        <v>4116</v>
      </c>
      <c r="F585" s="7" t="s">
        <v>4400</v>
      </c>
      <c r="G585" s="7" t="s">
        <v>5003</v>
      </c>
      <c r="J585" s="131">
        <v>8333</v>
      </c>
      <c r="K585" s="34">
        <f t="shared" si="14"/>
        <v>4966.4679999999998</v>
      </c>
      <c r="L585" t="s">
        <v>4139</v>
      </c>
    </row>
    <row r="586" spans="2:12" x14ac:dyDescent="0.25">
      <c r="B586" s="53" t="s">
        <v>4577</v>
      </c>
      <c r="C586" s="132" t="s">
        <v>4722</v>
      </c>
      <c r="D586" s="7" t="s">
        <v>4128</v>
      </c>
      <c r="E586" s="7" t="s">
        <v>4116</v>
      </c>
      <c r="F586" s="7" t="s">
        <v>4401</v>
      </c>
      <c r="G586" s="7" t="s">
        <v>5004</v>
      </c>
      <c r="J586" s="131">
        <v>6503</v>
      </c>
      <c r="K586" s="34">
        <f t="shared" si="14"/>
        <v>3875.788</v>
      </c>
      <c r="L586" t="s">
        <v>4139</v>
      </c>
    </row>
    <row r="587" spans="2:12" x14ac:dyDescent="0.25">
      <c r="B587" s="53" t="s">
        <v>4578</v>
      </c>
      <c r="C587" s="132" t="s">
        <v>4722</v>
      </c>
      <c r="D587" s="7" t="s">
        <v>4129</v>
      </c>
      <c r="E587" s="7" t="s">
        <v>4116</v>
      </c>
      <c r="F587" s="7" t="s">
        <v>4402</v>
      </c>
      <c r="G587" s="7" t="s">
        <v>5004</v>
      </c>
      <c r="J587" s="131">
        <v>6503</v>
      </c>
      <c r="K587" s="34">
        <f t="shared" si="14"/>
        <v>3875.788</v>
      </c>
      <c r="L587" t="s">
        <v>4139</v>
      </c>
    </row>
    <row r="588" spans="2:12" x14ac:dyDescent="0.25">
      <c r="B588" s="53" t="s">
        <v>4579</v>
      </c>
      <c r="C588" s="132" t="s">
        <v>4722</v>
      </c>
      <c r="D588" s="7" t="s">
        <v>4130</v>
      </c>
      <c r="E588" s="7" t="s">
        <v>4116</v>
      </c>
      <c r="F588" s="7" t="s">
        <v>4403</v>
      </c>
      <c r="G588" s="7" t="s">
        <v>5004</v>
      </c>
      <c r="J588" s="131">
        <v>6503</v>
      </c>
      <c r="K588" s="34">
        <f t="shared" si="14"/>
        <v>3875.788</v>
      </c>
      <c r="L588" t="s">
        <v>4139</v>
      </c>
    </row>
    <row r="589" spans="2:12" x14ac:dyDescent="0.25">
      <c r="B589" s="53" t="s">
        <v>4580</v>
      </c>
      <c r="C589" s="132" t="s">
        <v>4722</v>
      </c>
      <c r="D589" s="7" t="s">
        <v>4131</v>
      </c>
      <c r="E589" s="7" t="s">
        <v>4116</v>
      </c>
      <c r="F589" s="7" t="s">
        <v>4404</v>
      </c>
      <c r="G589" s="7" t="s">
        <v>5004</v>
      </c>
      <c r="J589" s="131">
        <v>6766</v>
      </c>
      <c r="K589" s="34">
        <f t="shared" si="14"/>
        <v>4032.5359999999996</v>
      </c>
      <c r="L589" t="s">
        <v>4139</v>
      </c>
    </row>
    <row r="590" spans="2:12" x14ac:dyDescent="0.25">
      <c r="B590" s="53" t="s">
        <v>4581</v>
      </c>
      <c r="C590" s="132" t="s">
        <v>4722</v>
      </c>
      <c r="D590" s="7" t="s">
        <v>4132</v>
      </c>
      <c r="E590" s="7" t="s">
        <v>4116</v>
      </c>
      <c r="F590" s="7" t="s">
        <v>4405</v>
      </c>
      <c r="G590" s="7" t="s">
        <v>5004</v>
      </c>
      <c r="J590" s="131">
        <v>6766</v>
      </c>
      <c r="K590" s="34">
        <f t="shared" si="14"/>
        <v>4032.5359999999996</v>
      </c>
      <c r="L590" t="s">
        <v>4139</v>
      </c>
    </row>
    <row r="591" spans="2:12" x14ac:dyDescent="0.25">
      <c r="B591" s="53" t="s">
        <v>4582</v>
      </c>
      <c r="C591" s="132" t="s">
        <v>4722</v>
      </c>
      <c r="D591" s="7" t="s">
        <v>4133</v>
      </c>
      <c r="E591" s="7" t="s">
        <v>4116</v>
      </c>
      <c r="F591" s="7" t="s">
        <v>4406</v>
      </c>
      <c r="G591" s="7" t="s">
        <v>5004</v>
      </c>
      <c r="J591" s="131">
        <v>6766</v>
      </c>
      <c r="K591" s="34">
        <f t="shared" si="14"/>
        <v>4032.5359999999996</v>
      </c>
      <c r="L591" t="s">
        <v>4139</v>
      </c>
    </row>
    <row r="592" spans="2:12" x14ac:dyDescent="0.25">
      <c r="B592" s="53" t="s">
        <v>4583</v>
      </c>
      <c r="C592" s="132" t="s">
        <v>4722</v>
      </c>
      <c r="D592" s="7" t="s">
        <v>4134</v>
      </c>
      <c r="E592" s="7" t="s">
        <v>4116</v>
      </c>
      <c r="F592" s="7" t="s">
        <v>4407</v>
      </c>
      <c r="G592" s="7" t="s">
        <v>5004</v>
      </c>
      <c r="J592" s="131">
        <v>6766</v>
      </c>
      <c r="K592" s="34">
        <f t="shared" si="14"/>
        <v>4032.5359999999996</v>
      </c>
      <c r="L592" t="s">
        <v>4139</v>
      </c>
    </row>
    <row r="593" spans="2:12" x14ac:dyDescent="0.25">
      <c r="B593" s="53" t="s">
        <v>4584</v>
      </c>
      <c r="C593" s="132" t="s">
        <v>4722</v>
      </c>
      <c r="D593" s="7" t="s">
        <v>4135</v>
      </c>
      <c r="E593" s="7" t="s">
        <v>4116</v>
      </c>
      <c r="F593" s="7" t="s">
        <v>4408</v>
      </c>
      <c r="G593" s="7" t="s">
        <v>5003</v>
      </c>
      <c r="J593" s="131">
        <v>8333</v>
      </c>
      <c r="K593" s="34">
        <f t="shared" si="14"/>
        <v>4966.4679999999998</v>
      </c>
      <c r="L593" t="s">
        <v>4139</v>
      </c>
    </row>
    <row r="594" spans="2:12" x14ac:dyDescent="0.25">
      <c r="B594" s="53" t="s">
        <v>4585</v>
      </c>
      <c r="C594" s="132" t="s">
        <v>4722</v>
      </c>
      <c r="D594" s="7" t="s">
        <v>4136</v>
      </c>
      <c r="E594" s="7" t="s">
        <v>4116</v>
      </c>
      <c r="F594" s="7" t="s">
        <v>4409</v>
      </c>
      <c r="G594" s="7" t="s">
        <v>5003</v>
      </c>
      <c r="J594" s="131">
        <v>8333</v>
      </c>
      <c r="K594" s="34">
        <f t="shared" si="14"/>
        <v>4966.4679999999998</v>
      </c>
      <c r="L594" t="s">
        <v>4139</v>
      </c>
    </row>
    <row r="595" spans="2:12" x14ac:dyDescent="0.25">
      <c r="B595" s="53" t="s">
        <v>4586</v>
      </c>
      <c r="C595" s="132" t="s">
        <v>4722</v>
      </c>
      <c r="D595" s="7" t="s">
        <v>4137</v>
      </c>
      <c r="E595" s="7" t="s">
        <v>4116</v>
      </c>
      <c r="F595" s="7" t="s">
        <v>4410</v>
      </c>
      <c r="G595" s="7" t="s">
        <v>5003</v>
      </c>
      <c r="J595" s="131">
        <v>8333</v>
      </c>
      <c r="K595" s="34">
        <f t="shared" si="14"/>
        <v>4966.4679999999998</v>
      </c>
      <c r="L595" t="s">
        <v>4139</v>
      </c>
    </row>
    <row r="596" spans="2:12" x14ac:dyDescent="0.25">
      <c r="B596" s="53" t="s">
        <v>4587</v>
      </c>
      <c r="C596" s="132" t="s">
        <v>4722</v>
      </c>
      <c r="D596" s="7" t="s">
        <v>687</v>
      </c>
      <c r="E596" s="7" t="s">
        <v>4116</v>
      </c>
      <c r="F596" s="7" t="s">
        <v>4411</v>
      </c>
      <c r="G596" s="7" t="s">
        <v>5003</v>
      </c>
      <c r="J596" s="131">
        <v>8333</v>
      </c>
      <c r="K596" s="34">
        <f t="shared" si="14"/>
        <v>4966.4679999999998</v>
      </c>
      <c r="L596" t="s">
        <v>4139</v>
      </c>
    </row>
    <row r="597" spans="2:12" x14ac:dyDescent="0.25">
      <c r="B597" s="53" t="s">
        <v>4588</v>
      </c>
      <c r="C597" s="132" t="s">
        <v>4723</v>
      </c>
      <c r="D597" s="7" t="s">
        <v>124</v>
      </c>
      <c r="E597" s="7" t="s">
        <v>4116</v>
      </c>
      <c r="F597" s="2" t="s">
        <v>4368</v>
      </c>
      <c r="G597" s="7" t="s">
        <v>5004</v>
      </c>
      <c r="J597" s="131">
        <v>6503</v>
      </c>
      <c r="K597" s="34">
        <f t="shared" si="14"/>
        <v>3875.788</v>
      </c>
      <c r="L597" t="s">
        <v>4139</v>
      </c>
    </row>
    <row r="598" spans="2:12" x14ac:dyDescent="0.25">
      <c r="B598" s="53" t="s">
        <v>4589</v>
      </c>
      <c r="C598" s="132" t="s">
        <v>4723</v>
      </c>
      <c r="D598" s="7" t="s">
        <v>125</v>
      </c>
      <c r="E598" s="7" t="s">
        <v>4116</v>
      </c>
      <c r="F598" s="7" t="s">
        <v>4369</v>
      </c>
      <c r="G598" s="7" t="s">
        <v>5004</v>
      </c>
      <c r="J598" s="131">
        <v>6503</v>
      </c>
      <c r="K598" s="34">
        <f t="shared" si="14"/>
        <v>3875.788</v>
      </c>
      <c r="L598" t="s">
        <v>4139</v>
      </c>
    </row>
    <row r="599" spans="2:12" x14ac:dyDescent="0.25">
      <c r="B599" s="53" t="s">
        <v>4590</v>
      </c>
      <c r="C599" s="132" t="s">
        <v>4723</v>
      </c>
      <c r="D599" s="7" t="s">
        <v>126</v>
      </c>
      <c r="E599" s="7" t="s">
        <v>4116</v>
      </c>
      <c r="F599" s="7" t="s">
        <v>4370</v>
      </c>
      <c r="G599" s="7" t="s">
        <v>5004</v>
      </c>
      <c r="J599" s="131">
        <v>6503</v>
      </c>
      <c r="K599" s="34">
        <f t="shared" si="14"/>
        <v>3875.788</v>
      </c>
      <c r="L599" t="s">
        <v>4139</v>
      </c>
    </row>
    <row r="600" spans="2:12" x14ac:dyDescent="0.25">
      <c r="B600" s="53" t="s">
        <v>4591</v>
      </c>
      <c r="C600" s="132" t="s">
        <v>4723</v>
      </c>
      <c r="D600" s="7" t="s">
        <v>127</v>
      </c>
      <c r="E600" s="7" t="s">
        <v>4116</v>
      </c>
      <c r="F600" s="7" t="s">
        <v>4371</v>
      </c>
      <c r="G600" s="7" t="s">
        <v>5004</v>
      </c>
      <c r="J600" s="131">
        <v>6766</v>
      </c>
      <c r="K600" s="34">
        <f t="shared" si="14"/>
        <v>4032.5359999999996</v>
      </c>
      <c r="L600" t="s">
        <v>4139</v>
      </c>
    </row>
    <row r="601" spans="2:12" x14ac:dyDescent="0.25">
      <c r="B601" s="53" t="s">
        <v>4592</v>
      </c>
      <c r="C601" s="132" t="s">
        <v>4723</v>
      </c>
      <c r="D601" s="7" t="s">
        <v>128</v>
      </c>
      <c r="E601" s="7" t="s">
        <v>4116</v>
      </c>
      <c r="F601" s="7" t="s">
        <v>4372</v>
      </c>
      <c r="G601" s="7" t="s">
        <v>5004</v>
      </c>
      <c r="J601" s="131">
        <v>6766</v>
      </c>
      <c r="K601" s="34">
        <f t="shared" si="14"/>
        <v>4032.5359999999996</v>
      </c>
      <c r="L601" t="s">
        <v>4139</v>
      </c>
    </row>
    <row r="602" spans="2:12" x14ac:dyDescent="0.25">
      <c r="B602" s="53" t="s">
        <v>4593</v>
      </c>
      <c r="C602" s="132" t="s">
        <v>4723</v>
      </c>
      <c r="D602" s="7" t="s">
        <v>129</v>
      </c>
      <c r="E602" s="7" t="s">
        <v>4116</v>
      </c>
      <c r="F602" s="7" t="s">
        <v>4373</v>
      </c>
      <c r="G602" s="7" t="s">
        <v>5004</v>
      </c>
      <c r="J602" s="131">
        <v>6766</v>
      </c>
      <c r="K602" s="34">
        <f t="shared" si="14"/>
        <v>4032.5359999999996</v>
      </c>
      <c r="L602" t="s">
        <v>4139</v>
      </c>
    </row>
    <row r="603" spans="2:12" x14ac:dyDescent="0.25">
      <c r="B603" s="53" t="s">
        <v>4594</v>
      </c>
      <c r="C603" s="132" t="s">
        <v>4723</v>
      </c>
      <c r="D603" s="7" t="s">
        <v>130</v>
      </c>
      <c r="E603" s="7" t="s">
        <v>4116</v>
      </c>
      <c r="F603" s="7" t="s">
        <v>4374</v>
      </c>
      <c r="G603" s="7" t="s">
        <v>5004</v>
      </c>
      <c r="J603" s="131">
        <v>6766</v>
      </c>
      <c r="K603" s="34">
        <f t="shared" si="14"/>
        <v>4032.5359999999996</v>
      </c>
      <c r="L603" t="s">
        <v>4139</v>
      </c>
    </row>
    <row r="604" spans="2:12" x14ac:dyDescent="0.25">
      <c r="B604" s="53" t="s">
        <v>4595</v>
      </c>
      <c r="C604" s="132" t="s">
        <v>4723</v>
      </c>
      <c r="D604" s="7" t="s">
        <v>142</v>
      </c>
      <c r="E604" s="7" t="s">
        <v>4116</v>
      </c>
      <c r="F604" s="7" t="s">
        <v>4375</v>
      </c>
      <c r="G604" s="7" t="s">
        <v>5003</v>
      </c>
      <c r="J604" s="131">
        <v>8333</v>
      </c>
      <c r="K604" s="34">
        <f t="shared" si="14"/>
        <v>4966.4679999999998</v>
      </c>
      <c r="L604" t="s">
        <v>4139</v>
      </c>
    </row>
    <row r="605" spans="2:12" x14ac:dyDescent="0.25">
      <c r="B605" s="53" t="s">
        <v>4596</v>
      </c>
      <c r="C605" s="132" t="s">
        <v>4723</v>
      </c>
      <c r="D605" s="7" t="s">
        <v>143</v>
      </c>
      <c r="E605" s="7" t="s">
        <v>4116</v>
      </c>
      <c r="F605" s="7" t="s">
        <v>4376</v>
      </c>
      <c r="G605" s="7" t="s">
        <v>5003</v>
      </c>
      <c r="J605" s="131">
        <v>8333</v>
      </c>
      <c r="K605" s="34">
        <f t="shared" si="14"/>
        <v>4966.4679999999998</v>
      </c>
      <c r="L605" t="s">
        <v>4139</v>
      </c>
    </row>
    <row r="606" spans="2:12" x14ac:dyDescent="0.25">
      <c r="B606" s="53" t="s">
        <v>4597</v>
      </c>
      <c r="C606" s="132" t="s">
        <v>4723</v>
      </c>
      <c r="D606" s="7" t="s">
        <v>144</v>
      </c>
      <c r="E606" s="7" t="s">
        <v>4116</v>
      </c>
      <c r="F606" s="7" t="s">
        <v>4377</v>
      </c>
      <c r="G606" s="7" t="s">
        <v>5003</v>
      </c>
      <c r="J606" s="131">
        <v>8333</v>
      </c>
      <c r="K606" s="34">
        <f t="shared" si="14"/>
        <v>4966.4679999999998</v>
      </c>
      <c r="L606" t="s">
        <v>4139</v>
      </c>
    </row>
    <row r="607" spans="2:12" x14ac:dyDescent="0.25">
      <c r="B607" s="53" t="s">
        <v>4598</v>
      </c>
      <c r="C607" s="132" t="s">
        <v>4723</v>
      </c>
      <c r="D607" s="7" t="s">
        <v>145</v>
      </c>
      <c r="E607" s="7" t="s">
        <v>4116</v>
      </c>
      <c r="F607" s="7" t="s">
        <v>4378</v>
      </c>
      <c r="G607" s="7" t="s">
        <v>5003</v>
      </c>
      <c r="J607" s="131">
        <v>8333</v>
      </c>
      <c r="K607" s="34">
        <f t="shared" si="14"/>
        <v>4966.4679999999998</v>
      </c>
      <c r="L607" t="s">
        <v>4139</v>
      </c>
    </row>
    <row r="608" spans="2:12" x14ac:dyDescent="0.25">
      <c r="B608" s="53" t="s">
        <v>4599</v>
      </c>
      <c r="C608" s="132" t="s">
        <v>4723</v>
      </c>
      <c r="D608" s="7" t="s">
        <v>131</v>
      </c>
      <c r="E608" s="7" t="s">
        <v>4116</v>
      </c>
      <c r="F608" s="7" t="s">
        <v>4379</v>
      </c>
      <c r="G608" s="7" t="s">
        <v>5004</v>
      </c>
      <c r="J608" s="131">
        <v>6503</v>
      </c>
      <c r="K608" s="34">
        <f t="shared" si="14"/>
        <v>3875.788</v>
      </c>
      <c r="L608" t="s">
        <v>4139</v>
      </c>
    </row>
    <row r="609" spans="2:12" x14ac:dyDescent="0.25">
      <c r="B609" s="53" t="s">
        <v>4600</v>
      </c>
      <c r="C609" s="132" t="s">
        <v>4723</v>
      </c>
      <c r="D609" s="7" t="s">
        <v>132</v>
      </c>
      <c r="E609" s="7" t="s">
        <v>4116</v>
      </c>
      <c r="F609" s="7" t="s">
        <v>4380</v>
      </c>
      <c r="G609" s="7" t="s">
        <v>5004</v>
      </c>
      <c r="J609" s="131">
        <v>6503</v>
      </c>
      <c r="K609" s="34">
        <f t="shared" si="14"/>
        <v>3875.788</v>
      </c>
      <c r="L609" t="s">
        <v>4139</v>
      </c>
    </row>
    <row r="610" spans="2:12" x14ac:dyDescent="0.25">
      <c r="B610" s="53" t="s">
        <v>4601</v>
      </c>
      <c r="C610" s="132" t="s">
        <v>4723</v>
      </c>
      <c r="D610" s="7" t="s">
        <v>133</v>
      </c>
      <c r="E610" s="7" t="s">
        <v>4116</v>
      </c>
      <c r="F610" s="7" t="s">
        <v>4381</v>
      </c>
      <c r="G610" s="7" t="s">
        <v>5004</v>
      </c>
      <c r="J610" s="131">
        <v>6503</v>
      </c>
      <c r="K610" s="34">
        <f t="shared" si="14"/>
        <v>3875.788</v>
      </c>
      <c r="L610" t="s">
        <v>4139</v>
      </c>
    </row>
    <row r="611" spans="2:12" x14ac:dyDescent="0.25">
      <c r="B611" s="53" t="s">
        <v>4602</v>
      </c>
      <c r="C611" s="132" t="s">
        <v>4723</v>
      </c>
      <c r="D611" s="7" t="s">
        <v>134</v>
      </c>
      <c r="E611" s="7" t="s">
        <v>4116</v>
      </c>
      <c r="F611" s="7" t="s">
        <v>4382</v>
      </c>
      <c r="G611" s="7" t="s">
        <v>5004</v>
      </c>
      <c r="J611" s="131">
        <v>6766</v>
      </c>
      <c r="K611" s="34">
        <f t="shared" si="14"/>
        <v>4032.5359999999996</v>
      </c>
      <c r="L611" t="s">
        <v>4139</v>
      </c>
    </row>
    <row r="612" spans="2:12" x14ac:dyDescent="0.25">
      <c r="B612" s="53" t="s">
        <v>4603</v>
      </c>
      <c r="C612" s="132" t="s">
        <v>4723</v>
      </c>
      <c r="D612" s="7" t="s">
        <v>135</v>
      </c>
      <c r="E612" s="7" t="s">
        <v>4116</v>
      </c>
      <c r="F612" s="7" t="s">
        <v>4383</v>
      </c>
      <c r="G612" s="7" t="s">
        <v>5004</v>
      </c>
      <c r="J612" s="131">
        <v>6766</v>
      </c>
      <c r="K612" s="34">
        <f t="shared" si="14"/>
        <v>4032.5359999999996</v>
      </c>
      <c r="L612" t="s">
        <v>4139</v>
      </c>
    </row>
    <row r="613" spans="2:12" x14ac:dyDescent="0.25">
      <c r="B613" s="53" t="s">
        <v>4604</v>
      </c>
      <c r="C613" s="132" t="s">
        <v>4723</v>
      </c>
      <c r="D613" s="7" t="s">
        <v>136</v>
      </c>
      <c r="E613" s="7" t="s">
        <v>4116</v>
      </c>
      <c r="F613" s="7" t="s">
        <v>4384</v>
      </c>
      <c r="G613" s="7" t="s">
        <v>5004</v>
      </c>
      <c r="J613" s="131">
        <v>6766</v>
      </c>
      <c r="K613" s="34">
        <f t="shared" si="14"/>
        <v>4032.5359999999996</v>
      </c>
      <c r="L613" t="s">
        <v>4139</v>
      </c>
    </row>
    <row r="614" spans="2:12" x14ac:dyDescent="0.25">
      <c r="B614" s="53" t="s">
        <v>4605</v>
      </c>
      <c r="C614" s="132" t="s">
        <v>4723</v>
      </c>
      <c r="D614" s="7" t="s">
        <v>137</v>
      </c>
      <c r="E614" s="7" t="s">
        <v>4116</v>
      </c>
      <c r="F614" s="7" t="s">
        <v>4385</v>
      </c>
      <c r="G614" s="7" t="s">
        <v>5004</v>
      </c>
      <c r="J614" s="131">
        <v>6766</v>
      </c>
      <c r="K614" s="34">
        <f t="shared" si="14"/>
        <v>4032.5359999999996</v>
      </c>
      <c r="L614" t="s">
        <v>4139</v>
      </c>
    </row>
    <row r="615" spans="2:12" x14ac:dyDescent="0.25">
      <c r="B615" s="53" t="s">
        <v>4606</v>
      </c>
      <c r="C615" s="132" t="s">
        <v>4723</v>
      </c>
      <c r="D615" s="7" t="s">
        <v>146</v>
      </c>
      <c r="E615" s="7" t="s">
        <v>4116</v>
      </c>
      <c r="F615" s="7" t="s">
        <v>4386</v>
      </c>
      <c r="G615" s="7" t="s">
        <v>5003</v>
      </c>
      <c r="J615" s="131">
        <v>8333</v>
      </c>
      <c r="K615" s="34">
        <f t="shared" si="14"/>
        <v>4966.4679999999998</v>
      </c>
      <c r="L615" t="s">
        <v>4139</v>
      </c>
    </row>
    <row r="616" spans="2:12" x14ac:dyDescent="0.25">
      <c r="B616" s="53" t="s">
        <v>4607</v>
      </c>
      <c r="C616" s="132" t="s">
        <v>4723</v>
      </c>
      <c r="D616" s="7" t="s">
        <v>156</v>
      </c>
      <c r="E616" s="7" t="s">
        <v>4116</v>
      </c>
      <c r="F616" s="7" t="s">
        <v>4387</v>
      </c>
      <c r="G616" s="7" t="s">
        <v>5003</v>
      </c>
      <c r="J616" s="131">
        <v>8333</v>
      </c>
      <c r="K616" s="34">
        <f t="shared" si="14"/>
        <v>4966.4679999999998</v>
      </c>
      <c r="L616" t="s">
        <v>4139</v>
      </c>
    </row>
    <row r="617" spans="2:12" x14ac:dyDescent="0.25">
      <c r="B617" s="53" t="s">
        <v>4608</v>
      </c>
      <c r="C617" s="132" t="s">
        <v>4723</v>
      </c>
      <c r="D617" s="7" t="s">
        <v>148</v>
      </c>
      <c r="E617" s="7" t="s">
        <v>4116</v>
      </c>
      <c r="F617" s="7" t="s">
        <v>4388</v>
      </c>
      <c r="G617" s="7" t="s">
        <v>5003</v>
      </c>
      <c r="J617" s="131">
        <v>8333</v>
      </c>
      <c r="K617" s="34">
        <f t="shared" si="14"/>
        <v>4966.4679999999998</v>
      </c>
      <c r="L617" t="s">
        <v>4139</v>
      </c>
    </row>
    <row r="618" spans="2:12" x14ac:dyDescent="0.25">
      <c r="B618" s="53" t="s">
        <v>4609</v>
      </c>
      <c r="C618" s="132" t="s">
        <v>4723</v>
      </c>
      <c r="D618" s="7" t="s">
        <v>149</v>
      </c>
      <c r="E618" s="7" t="s">
        <v>4116</v>
      </c>
      <c r="F618" s="7" t="s">
        <v>4389</v>
      </c>
      <c r="G618" s="7" t="s">
        <v>5003</v>
      </c>
      <c r="J618" s="131">
        <v>8333</v>
      </c>
      <c r="K618" s="34">
        <f t="shared" si="14"/>
        <v>4966.4679999999998</v>
      </c>
      <c r="L618" t="s">
        <v>4139</v>
      </c>
    </row>
    <row r="619" spans="2:12" x14ac:dyDescent="0.25">
      <c r="B619" s="53" t="s">
        <v>4610</v>
      </c>
      <c r="C619" s="132" t="s">
        <v>4723</v>
      </c>
      <c r="D619" s="7" t="s">
        <v>4118</v>
      </c>
      <c r="E619" s="7" t="s">
        <v>4116</v>
      </c>
      <c r="F619" s="7" t="s">
        <v>4390</v>
      </c>
      <c r="G619" s="7" t="s">
        <v>5004</v>
      </c>
      <c r="J619" s="131">
        <v>6503</v>
      </c>
      <c r="K619" s="34">
        <f t="shared" si="14"/>
        <v>3875.788</v>
      </c>
      <c r="L619" t="s">
        <v>4139</v>
      </c>
    </row>
    <row r="620" spans="2:12" x14ac:dyDescent="0.25">
      <c r="B620" s="53" t="s">
        <v>4611</v>
      </c>
      <c r="C620" s="132" t="s">
        <v>4723</v>
      </c>
      <c r="D620" s="7" t="s">
        <v>4119</v>
      </c>
      <c r="E620" s="7" t="s">
        <v>4116</v>
      </c>
      <c r="F620" s="7" t="s">
        <v>4391</v>
      </c>
      <c r="G620" s="7" t="s">
        <v>5004</v>
      </c>
      <c r="J620" s="131">
        <v>6503</v>
      </c>
      <c r="K620" s="34">
        <f t="shared" si="14"/>
        <v>3875.788</v>
      </c>
      <c r="L620" t="s">
        <v>4139</v>
      </c>
    </row>
    <row r="621" spans="2:12" x14ac:dyDescent="0.25">
      <c r="B621" s="53" t="s">
        <v>4612</v>
      </c>
      <c r="C621" s="132" t="s">
        <v>4723</v>
      </c>
      <c r="D621" s="7" t="s">
        <v>4120</v>
      </c>
      <c r="E621" s="7" t="s">
        <v>4116</v>
      </c>
      <c r="F621" s="7" t="s">
        <v>4392</v>
      </c>
      <c r="G621" s="7" t="s">
        <v>5004</v>
      </c>
      <c r="J621" s="131">
        <v>6503</v>
      </c>
      <c r="K621" s="34">
        <f t="shared" si="14"/>
        <v>3875.788</v>
      </c>
      <c r="L621" t="s">
        <v>4139</v>
      </c>
    </row>
    <row r="622" spans="2:12" x14ac:dyDescent="0.25">
      <c r="B622" s="53" t="s">
        <v>4613</v>
      </c>
      <c r="C622" s="132" t="s">
        <v>4723</v>
      </c>
      <c r="D622" s="7" t="s">
        <v>4121</v>
      </c>
      <c r="E622" s="7" t="s">
        <v>4116</v>
      </c>
      <c r="F622" s="7" t="s">
        <v>4393</v>
      </c>
      <c r="G622" s="7" t="s">
        <v>5004</v>
      </c>
      <c r="J622" s="131">
        <v>6766</v>
      </c>
      <c r="K622" s="34">
        <f t="shared" si="14"/>
        <v>4032.5359999999996</v>
      </c>
      <c r="L622" t="s">
        <v>4139</v>
      </c>
    </row>
    <row r="623" spans="2:12" x14ac:dyDescent="0.25">
      <c r="B623" s="53" t="s">
        <v>4614</v>
      </c>
      <c r="C623" s="132" t="s">
        <v>4723</v>
      </c>
      <c r="D623" s="7" t="s">
        <v>4122</v>
      </c>
      <c r="E623" s="7" t="s">
        <v>4116</v>
      </c>
      <c r="F623" s="7" t="s">
        <v>4394</v>
      </c>
      <c r="G623" s="7" t="s">
        <v>5004</v>
      </c>
      <c r="J623" s="131">
        <v>6766</v>
      </c>
      <c r="K623" s="34">
        <f t="shared" si="14"/>
        <v>4032.5359999999996</v>
      </c>
      <c r="L623" t="s">
        <v>4139</v>
      </c>
    </row>
    <row r="624" spans="2:12" x14ac:dyDescent="0.25">
      <c r="B624" s="53" t="s">
        <v>4615</v>
      </c>
      <c r="C624" s="132" t="s">
        <v>4723</v>
      </c>
      <c r="D624" s="7" t="s">
        <v>4123</v>
      </c>
      <c r="E624" s="7" t="s">
        <v>4116</v>
      </c>
      <c r="F624" s="7" t="s">
        <v>4395</v>
      </c>
      <c r="G624" s="7" t="s">
        <v>5004</v>
      </c>
      <c r="J624" s="131">
        <v>6766</v>
      </c>
      <c r="K624" s="34">
        <f t="shared" si="14"/>
        <v>4032.5359999999996</v>
      </c>
      <c r="L624" t="s">
        <v>4139</v>
      </c>
    </row>
    <row r="625" spans="2:12" x14ac:dyDescent="0.25">
      <c r="B625" s="53" t="s">
        <v>4616</v>
      </c>
      <c r="C625" s="132" t="s">
        <v>4723</v>
      </c>
      <c r="D625" s="7" t="s">
        <v>4124</v>
      </c>
      <c r="E625" s="7" t="s">
        <v>4116</v>
      </c>
      <c r="F625" s="7" t="s">
        <v>4396</v>
      </c>
      <c r="G625" s="7" t="s">
        <v>5004</v>
      </c>
      <c r="J625" s="131">
        <v>6766</v>
      </c>
      <c r="K625" s="34">
        <f t="shared" si="14"/>
        <v>4032.5359999999996</v>
      </c>
      <c r="L625" t="s">
        <v>4139</v>
      </c>
    </row>
    <row r="626" spans="2:12" x14ac:dyDescent="0.25">
      <c r="B626" s="53" t="s">
        <v>4617</v>
      </c>
      <c r="C626" s="132" t="s">
        <v>4723</v>
      </c>
      <c r="D626" s="7" t="s">
        <v>4125</v>
      </c>
      <c r="E626" s="7" t="s">
        <v>4116</v>
      </c>
      <c r="F626" s="7" t="s">
        <v>4397</v>
      </c>
      <c r="G626" s="7" t="s">
        <v>5003</v>
      </c>
      <c r="J626" s="131">
        <v>8333</v>
      </c>
      <c r="K626" s="34">
        <f t="shared" si="14"/>
        <v>4966.4679999999998</v>
      </c>
      <c r="L626" t="s">
        <v>4139</v>
      </c>
    </row>
    <row r="627" spans="2:12" x14ac:dyDescent="0.25">
      <c r="B627" s="53" t="s">
        <v>4618</v>
      </c>
      <c r="C627" s="132" t="s">
        <v>4723</v>
      </c>
      <c r="D627" s="7" t="s">
        <v>4126</v>
      </c>
      <c r="E627" s="7" t="s">
        <v>4116</v>
      </c>
      <c r="F627" s="7" t="s">
        <v>4398</v>
      </c>
      <c r="G627" s="7" t="s">
        <v>5003</v>
      </c>
      <c r="J627" s="131">
        <v>8333</v>
      </c>
      <c r="K627" s="34">
        <f t="shared" si="14"/>
        <v>4966.4679999999998</v>
      </c>
      <c r="L627" t="s">
        <v>4139</v>
      </c>
    </row>
    <row r="628" spans="2:12" x14ac:dyDescent="0.25">
      <c r="B628" s="53" t="s">
        <v>4619</v>
      </c>
      <c r="C628" s="132" t="s">
        <v>4723</v>
      </c>
      <c r="D628" s="7" t="s">
        <v>4127</v>
      </c>
      <c r="E628" s="7" t="s">
        <v>4116</v>
      </c>
      <c r="F628" s="7" t="s">
        <v>4399</v>
      </c>
      <c r="G628" s="7" t="s">
        <v>5003</v>
      </c>
      <c r="J628" s="131">
        <v>8333</v>
      </c>
      <c r="K628" s="34">
        <f t="shared" si="14"/>
        <v>4966.4679999999998</v>
      </c>
      <c r="L628" t="s">
        <v>4139</v>
      </c>
    </row>
    <row r="629" spans="2:12" x14ac:dyDescent="0.25">
      <c r="B629" s="53" t="s">
        <v>4620</v>
      </c>
      <c r="C629" s="132" t="s">
        <v>4723</v>
      </c>
      <c r="D629" s="7" t="s">
        <v>674</v>
      </c>
      <c r="E629" s="7" t="s">
        <v>4116</v>
      </c>
      <c r="F629" s="7" t="s">
        <v>4400</v>
      </c>
      <c r="G629" s="7" t="s">
        <v>5003</v>
      </c>
      <c r="J629" s="131">
        <v>8333</v>
      </c>
      <c r="K629" s="34">
        <f t="shared" si="14"/>
        <v>4966.4679999999998</v>
      </c>
      <c r="L629" t="s">
        <v>4139</v>
      </c>
    </row>
    <row r="630" spans="2:12" x14ac:dyDescent="0.25">
      <c r="B630" s="53" t="s">
        <v>4621</v>
      </c>
      <c r="C630" s="132" t="s">
        <v>4723</v>
      </c>
      <c r="D630" s="7" t="s">
        <v>4128</v>
      </c>
      <c r="E630" s="7" t="s">
        <v>4116</v>
      </c>
      <c r="F630" s="7" t="s">
        <v>4401</v>
      </c>
      <c r="G630" s="7" t="s">
        <v>5004</v>
      </c>
      <c r="J630" s="131">
        <v>6503</v>
      </c>
      <c r="K630" s="34">
        <f t="shared" si="14"/>
        <v>3875.788</v>
      </c>
      <c r="L630" t="s">
        <v>4139</v>
      </c>
    </row>
    <row r="631" spans="2:12" x14ac:dyDescent="0.25">
      <c r="B631" s="53" t="s">
        <v>4622</v>
      </c>
      <c r="C631" s="132" t="s">
        <v>4723</v>
      </c>
      <c r="D631" s="7" t="s">
        <v>4129</v>
      </c>
      <c r="E631" s="7" t="s">
        <v>4116</v>
      </c>
      <c r="F631" s="7" t="s">
        <v>4402</v>
      </c>
      <c r="G631" s="7" t="s">
        <v>5004</v>
      </c>
      <c r="J631" s="131">
        <v>6503</v>
      </c>
      <c r="K631" s="34">
        <f t="shared" si="14"/>
        <v>3875.788</v>
      </c>
      <c r="L631" t="s">
        <v>4139</v>
      </c>
    </row>
    <row r="632" spans="2:12" x14ac:dyDescent="0.25">
      <c r="B632" s="53" t="s">
        <v>4623</v>
      </c>
      <c r="C632" s="132" t="s">
        <v>4723</v>
      </c>
      <c r="D632" s="7" t="s">
        <v>4130</v>
      </c>
      <c r="E632" s="7" t="s">
        <v>4116</v>
      </c>
      <c r="F632" s="7" t="s">
        <v>4403</v>
      </c>
      <c r="G632" s="7" t="s">
        <v>5004</v>
      </c>
      <c r="J632" s="131">
        <v>6503</v>
      </c>
      <c r="K632" s="34">
        <f t="shared" si="14"/>
        <v>3875.788</v>
      </c>
      <c r="L632" t="s">
        <v>4139</v>
      </c>
    </row>
    <row r="633" spans="2:12" x14ac:dyDescent="0.25">
      <c r="B633" s="53" t="s">
        <v>4624</v>
      </c>
      <c r="C633" s="132" t="s">
        <v>4723</v>
      </c>
      <c r="D633" s="7" t="s">
        <v>4131</v>
      </c>
      <c r="E633" s="7" t="s">
        <v>4116</v>
      </c>
      <c r="F633" s="7" t="s">
        <v>4404</v>
      </c>
      <c r="G633" s="7" t="s">
        <v>5004</v>
      </c>
      <c r="J633" s="131">
        <v>6766</v>
      </c>
      <c r="K633" s="34">
        <f t="shared" si="14"/>
        <v>4032.5359999999996</v>
      </c>
      <c r="L633" t="s">
        <v>4139</v>
      </c>
    </row>
    <row r="634" spans="2:12" x14ac:dyDescent="0.25">
      <c r="B634" s="53" t="s">
        <v>4625</v>
      </c>
      <c r="C634" s="132" t="s">
        <v>4723</v>
      </c>
      <c r="D634" s="7" t="s">
        <v>4132</v>
      </c>
      <c r="E634" s="7" t="s">
        <v>4116</v>
      </c>
      <c r="F634" s="7" t="s">
        <v>4405</v>
      </c>
      <c r="G634" s="7" t="s">
        <v>5004</v>
      </c>
      <c r="J634" s="131">
        <v>6766</v>
      </c>
      <c r="K634" s="34">
        <f t="shared" si="14"/>
        <v>4032.5359999999996</v>
      </c>
      <c r="L634" t="s">
        <v>4139</v>
      </c>
    </row>
    <row r="635" spans="2:12" x14ac:dyDescent="0.25">
      <c r="B635" s="53" t="s">
        <v>4626</v>
      </c>
      <c r="C635" s="132" t="s">
        <v>4723</v>
      </c>
      <c r="D635" s="7" t="s">
        <v>4133</v>
      </c>
      <c r="E635" s="7" t="s">
        <v>4116</v>
      </c>
      <c r="F635" s="7" t="s">
        <v>4406</v>
      </c>
      <c r="G635" s="7" t="s">
        <v>5004</v>
      </c>
      <c r="J635" s="131">
        <v>6766</v>
      </c>
      <c r="K635" s="34">
        <f t="shared" si="14"/>
        <v>4032.5359999999996</v>
      </c>
      <c r="L635" t="s">
        <v>4139</v>
      </c>
    </row>
    <row r="636" spans="2:12" x14ac:dyDescent="0.25">
      <c r="B636" s="53" t="s">
        <v>4627</v>
      </c>
      <c r="C636" s="132" t="s">
        <v>4723</v>
      </c>
      <c r="D636" s="7" t="s">
        <v>4134</v>
      </c>
      <c r="E636" s="7" t="s">
        <v>4116</v>
      </c>
      <c r="F636" s="7" t="s">
        <v>4407</v>
      </c>
      <c r="G636" s="7" t="s">
        <v>5004</v>
      </c>
      <c r="J636" s="131">
        <v>6766</v>
      </c>
      <c r="K636" s="34">
        <f t="shared" si="14"/>
        <v>4032.5359999999996</v>
      </c>
      <c r="L636" t="s">
        <v>4139</v>
      </c>
    </row>
    <row r="637" spans="2:12" x14ac:dyDescent="0.25">
      <c r="B637" s="53" t="s">
        <v>4628</v>
      </c>
      <c r="C637" s="132" t="s">
        <v>4723</v>
      </c>
      <c r="D637" s="7" t="s">
        <v>4135</v>
      </c>
      <c r="E637" s="7" t="s">
        <v>4116</v>
      </c>
      <c r="F637" s="7" t="s">
        <v>4408</v>
      </c>
      <c r="G637" s="7" t="s">
        <v>5003</v>
      </c>
      <c r="J637" s="131">
        <v>8333</v>
      </c>
      <c r="K637" s="34">
        <f t="shared" si="14"/>
        <v>4966.4679999999998</v>
      </c>
      <c r="L637" t="s">
        <v>4139</v>
      </c>
    </row>
    <row r="638" spans="2:12" x14ac:dyDescent="0.25">
      <c r="B638" s="53" t="s">
        <v>4629</v>
      </c>
      <c r="C638" s="132" t="s">
        <v>4723</v>
      </c>
      <c r="D638" s="7" t="s">
        <v>4136</v>
      </c>
      <c r="E638" s="7" t="s">
        <v>4116</v>
      </c>
      <c r="F638" s="7" t="s">
        <v>4409</v>
      </c>
      <c r="G638" s="7" t="s">
        <v>5003</v>
      </c>
      <c r="J638" s="131">
        <v>8333</v>
      </c>
      <c r="K638" s="34">
        <f t="shared" si="14"/>
        <v>4966.4679999999998</v>
      </c>
      <c r="L638" t="s">
        <v>4139</v>
      </c>
    </row>
    <row r="639" spans="2:12" x14ac:dyDescent="0.25">
      <c r="B639" s="53" t="s">
        <v>4630</v>
      </c>
      <c r="C639" s="132" t="s">
        <v>4723</v>
      </c>
      <c r="D639" s="7" t="s">
        <v>4137</v>
      </c>
      <c r="E639" s="7" t="s">
        <v>4116</v>
      </c>
      <c r="F639" s="7" t="s">
        <v>4410</v>
      </c>
      <c r="G639" s="7" t="s">
        <v>5003</v>
      </c>
      <c r="J639" s="131">
        <v>8333</v>
      </c>
      <c r="K639" s="34">
        <f t="shared" ref="K639:K702" si="15">J639*0.596</f>
        <v>4966.4679999999998</v>
      </c>
      <c r="L639" t="s">
        <v>4139</v>
      </c>
    </row>
    <row r="640" spans="2:12" x14ac:dyDescent="0.25">
      <c r="B640" s="53" t="s">
        <v>4631</v>
      </c>
      <c r="C640" s="132" t="s">
        <v>4723</v>
      </c>
      <c r="D640" s="7" t="s">
        <v>687</v>
      </c>
      <c r="E640" s="7" t="s">
        <v>4116</v>
      </c>
      <c r="F640" s="7" t="s">
        <v>4411</v>
      </c>
      <c r="G640" s="7" t="s">
        <v>5003</v>
      </c>
      <c r="J640" s="131">
        <v>8333</v>
      </c>
      <c r="K640" s="34">
        <f t="shared" si="15"/>
        <v>4966.4679999999998</v>
      </c>
      <c r="L640" t="s">
        <v>4139</v>
      </c>
    </row>
    <row r="641" spans="1:12" s="62" customFormat="1" x14ac:dyDescent="0.25">
      <c r="A641" s="62" t="s">
        <v>4999</v>
      </c>
      <c r="B641" s="81" t="s">
        <v>4116</v>
      </c>
      <c r="J641" s="135"/>
      <c r="K641" s="65"/>
    </row>
    <row r="642" spans="1:12" x14ac:dyDescent="0.25">
      <c r="B642" s="53" t="s">
        <v>4632</v>
      </c>
      <c r="C642" s="132" t="s">
        <v>4724</v>
      </c>
      <c r="D642" s="7" t="s">
        <v>124</v>
      </c>
      <c r="E642" s="7" t="s">
        <v>4116</v>
      </c>
      <c r="F642" s="2" t="s">
        <v>4412</v>
      </c>
      <c r="G642" s="7" t="s">
        <v>5004</v>
      </c>
      <c r="J642" s="131">
        <v>6503</v>
      </c>
      <c r="K642" s="34">
        <f t="shared" si="15"/>
        <v>3875.788</v>
      </c>
      <c r="L642" t="s">
        <v>4139</v>
      </c>
    </row>
    <row r="643" spans="1:12" x14ac:dyDescent="0.25">
      <c r="B643" s="53" t="s">
        <v>4633</v>
      </c>
      <c r="C643" s="132" t="s">
        <v>4724</v>
      </c>
      <c r="D643" s="7" t="s">
        <v>125</v>
      </c>
      <c r="E643" s="7" t="s">
        <v>4116</v>
      </c>
      <c r="F643" s="7" t="s">
        <v>4413</v>
      </c>
      <c r="G643" s="7" t="s">
        <v>5004</v>
      </c>
      <c r="J643" s="131">
        <v>6503</v>
      </c>
      <c r="K643" s="34">
        <f t="shared" si="15"/>
        <v>3875.788</v>
      </c>
      <c r="L643" t="s">
        <v>4139</v>
      </c>
    </row>
    <row r="644" spans="1:12" x14ac:dyDescent="0.25">
      <c r="B644" s="53" t="s">
        <v>4634</v>
      </c>
      <c r="C644" s="132" t="s">
        <v>4724</v>
      </c>
      <c r="D644" s="7" t="s">
        <v>126</v>
      </c>
      <c r="E644" s="7" t="s">
        <v>4116</v>
      </c>
      <c r="F644" s="7" t="s">
        <v>4414</v>
      </c>
      <c r="G644" s="7" t="s">
        <v>5004</v>
      </c>
      <c r="J644" s="131">
        <v>6503</v>
      </c>
      <c r="K644" s="34">
        <f t="shared" si="15"/>
        <v>3875.788</v>
      </c>
      <c r="L644" t="s">
        <v>4139</v>
      </c>
    </row>
    <row r="645" spans="1:12" x14ac:dyDescent="0.25">
      <c r="B645" s="53" t="s">
        <v>4635</v>
      </c>
      <c r="C645" s="132" t="s">
        <v>4724</v>
      </c>
      <c r="D645" s="7" t="s">
        <v>127</v>
      </c>
      <c r="E645" s="7" t="s">
        <v>4116</v>
      </c>
      <c r="F645" s="7" t="s">
        <v>4415</v>
      </c>
      <c r="G645" s="7" t="s">
        <v>5004</v>
      </c>
      <c r="J645" s="131">
        <v>6766</v>
      </c>
      <c r="K645" s="34">
        <f t="shared" si="15"/>
        <v>4032.5359999999996</v>
      </c>
      <c r="L645" t="s">
        <v>4139</v>
      </c>
    </row>
    <row r="646" spans="1:12" x14ac:dyDescent="0.25">
      <c r="B646" s="53" t="s">
        <v>4636</v>
      </c>
      <c r="C646" s="132" t="s">
        <v>4724</v>
      </c>
      <c r="D646" s="7" t="s">
        <v>128</v>
      </c>
      <c r="E646" s="7" t="s">
        <v>4116</v>
      </c>
      <c r="F646" s="7" t="s">
        <v>4416</v>
      </c>
      <c r="G646" s="7" t="s">
        <v>5004</v>
      </c>
      <c r="J646" s="131">
        <v>6766</v>
      </c>
      <c r="K646" s="34">
        <f t="shared" si="15"/>
        <v>4032.5359999999996</v>
      </c>
      <c r="L646" t="s">
        <v>4139</v>
      </c>
    </row>
    <row r="647" spans="1:12" x14ac:dyDescent="0.25">
      <c r="B647" s="53" t="s">
        <v>4637</v>
      </c>
      <c r="C647" s="132" t="s">
        <v>4724</v>
      </c>
      <c r="D647" s="7" t="s">
        <v>129</v>
      </c>
      <c r="E647" s="7" t="s">
        <v>4116</v>
      </c>
      <c r="F647" s="7" t="s">
        <v>4417</v>
      </c>
      <c r="G647" s="7" t="s">
        <v>5004</v>
      </c>
      <c r="J647" s="131">
        <v>6766</v>
      </c>
      <c r="K647" s="34">
        <f t="shared" si="15"/>
        <v>4032.5359999999996</v>
      </c>
      <c r="L647" t="s">
        <v>4139</v>
      </c>
    </row>
    <row r="648" spans="1:12" x14ac:dyDescent="0.25">
      <c r="B648" s="53" t="s">
        <v>4638</v>
      </c>
      <c r="C648" s="132" t="s">
        <v>4724</v>
      </c>
      <c r="D648" s="7" t="s">
        <v>130</v>
      </c>
      <c r="E648" s="7" t="s">
        <v>4116</v>
      </c>
      <c r="F648" s="7" t="s">
        <v>4418</v>
      </c>
      <c r="G648" s="7" t="s">
        <v>5004</v>
      </c>
      <c r="J648" s="131">
        <v>6766</v>
      </c>
      <c r="K648" s="34">
        <f t="shared" si="15"/>
        <v>4032.5359999999996</v>
      </c>
      <c r="L648" t="s">
        <v>4139</v>
      </c>
    </row>
    <row r="649" spans="1:12" x14ac:dyDescent="0.25">
      <c r="B649" s="53" t="s">
        <v>4639</v>
      </c>
      <c r="C649" s="132" t="s">
        <v>4724</v>
      </c>
      <c r="D649" s="7" t="s">
        <v>142</v>
      </c>
      <c r="E649" s="7" t="s">
        <v>4116</v>
      </c>
      <c r="F649" s="7" t="s">
        <v>4419</v>
      </c>
      <c r="G649" s="7" t="s">
        <v>5003</v>
      </c>
      <c r="J649" s="131">
        <v>8333</v>
      </c>
      <c r="K649" s="34">
        <f t="shared" si="15"/>
        <v>4966.4679999999998</v>
      </c>
      <c r="L649" t="s">
        <v>4139</v>
      </c>
    </row>
    <row r="650" spans="1:12" x14ac:dyDescent="0.25">
      <c r="B650" s="53" t="s">
        <v>4640</v>
      </c>
      <c r="C650" s="132" t="s">
        <v>4724</v>
      </c>
      <c r="D650" s="7" t="s">
        <v>143</v>
      </c>
      <c r="E650" s="7" t="s">
        <v>4116</v>
      </c>
      <c r="F650" s="7" t="s">
        <v>4420</v>
      </c>
      <c r="G650" s="7" t="s">
        <v>5003</v>
      </c>
      <c r="J650" s="131">
        <v>8333</v>
      </c>
      <c r="K650" s="34">
        <f t="shared" si="15"/>
        <v>4966.4679999999998</v>
      </c>
      <c r="L650" t="s">
        <v>4139</v>
      </c>
    </row>
    <row r="651" spans="1:12" x14ac:dyDescent="0.25">
      <c r="B651" s="53" t="s">
        <v>4641</v>
      </c>
      <c r="C651" s="132" t="s">
        <v>4724</v>
      </c>
      <c r="D651" s="7" t="s">
        <v>144</v>
      </c>
      <c r="E651" s="7" t="s">
        <v>4116</v>
      </c>
      <c r="F651" s="7" t="s">
        <v>4421</v>
      </c>
      <c r="G651" s="7" t="s">
        <v>5003</v>
      </c>
      <c r="J651" s="131">
        <v>8333</v>
      </c>
      <c r="K651" s="34">
        <f t="shared" si="15"/>
        <v>4966.4679999999998</v>
      </c>
      <c r="L651" t="s">
        <v>4139</v>
      </c>
    </row>
    <row r="652" spans="1:12" x14ac:dyDescent="0.25">
      <c r="B652" s="53" t="s">
        <v>4642</v>
      </c>
      <c r="C652" s="132" t="s">
        <v>4724</v>
      </c>
      <c r="D652" s="7" t="s">
        <v>145</v>
      </c>
      <c r="E652" s="7" t="s">
        <v>4116</v>
      </c>
      <c r="F652" s="7" t="s">
        <v>4422</v>
      </c>
      <c r="G652" s="7" t="s">
        <v>5003</v>
      </c>
      <c r="J652" s="131">
        <v>8333</v>
      </c>
      <c r="K652" s="34">
        <f t="shared" si="15"/>
        <v>4966.4679999999998</v>
      </c>
      <c r="L652" t="s">
        <v>4139</v>
      </c>
    </row>
    <row r="653" spans="1:12" x14ac:dyDescent="0.25">
      <c r="B653" s="53" t="s">
        <v>4643</v>
      </c>
      <c r="C653" s="132" t="s">
        <v>4724</v>
      </c>
      <c r="D653" s="7" t="s">
        <v>131</v>
      </c>
      <c r="E653" s="7" t="s">
        <v>4116</v>
      </c>
      <c r="F653" s="7" t="s">
        <v>4423</v>
      </c>
      <c r="G653" s="7" t="s">
        <v>5004</v>
      </c>
      <c r="J653" s="131">
        <v>6503</v>
      </c>
      <c r="K653" s="34">
        <f t="shared" si="15"/>
        <v>3875.788</v>
      </c>
      <c r="L653" t="s">
        <v>4139</v>
      </c>
    </row>
    <row r="654" spans="1:12" x14ac:dyDescent="0.25">
      <c r="B654" s="53" t="s">
        <v>4644</v>
      </c>
      <c r="C654" s="132" t="s">
        <v>4724</v>
      </c>
      <c r="D654" s="7" t="s">
        <v>132</v>
      </c>
      <c r="E654" s="7" t="s">
        <v>4116</v>
      </c>
      <c r="F654" s="7" t="s">
        <v>4424</v>
      </c>
      <c r="G654" s="7" t="s">
        <v>5004</v>
      </c>
      <c r="J654" s="131">
        <v>6503</v>
      </c>
      <c r="K654" s="34">
        <f t="shared" si="15"/>
        <v>3875.788</v>
      </c>
      <c r="L654" t="s">
        <v>4139</v>
      </c>
    </row>
    <row r="655" spans="1:12" x14ac:dyDescent="0.25">
      <c r="B655" s="53" t="s">
        <v>4645</v>
      </c>
      <c r="C655" s="132" t="s">
        <v>4724</v>
      </c>
      <c r="D655" s="7" t="s">
        <v>133</v>
      </c>
      <c r="E655" s="7" t="s">
        <v>4116</v>
      </c>
      <c r="F655" s="7" t="s">
        <v>4425</v>
      </c>
      <c r="G655" s="7" t="s">
        <v>5004</v>
      </c>
      <c r="J655" s="131">
        <v>6503</v>
      </c>
      <c r="K655" s="34">
        <f t="shared" si="15"/>
        <v>3875.788</v>
      </c>
      <c r="L655" t="s">
        <v>4139</v>
      </c>
    </row>
    <row r="656" spans="1:12" x14ac:dyDescent="0.25">
      <c r="B656" s="53" t="s">
        <v>4646</v>
      </c>
      <c r="C656" s="132" t="s">
        <v>4724</v>
      </c>
      <c r="D656" s="7" t="s">
        <v>134</v>
      </c>
      <c r="E656" s="7" t="s">
        <v>4116</v>
      </c>
      <c r="F656" s="7" t="s">
        <v>4426</v>
      </c>
      <c r="G656" s="7" t="s">
        <v>5004</v>
      </c>
      <c r="J656" s="131">
        <v>6766</v>
      </c>
      <c r="K656" s="34">
        <f t="shared" si="15"/>
        <v>4032.5359999999996</v>
      </c>
      <c r="L656" t="s">
        <v>4139</v>
      </c>
    </row>
    <row r="657" spans="2:12" x14ac:dyDescent="0.25">
      <c r="B657" s="53" t="s">
        <v>4647</v>
      </c>
      <c r="C657" s="132" t="s">
        <v>4724</v>
      </c>
      <c r="D657" s="7" t="s">
        <v>135</v>
      </c>
      <c r="E657" s="7" t="s">
        <v>4116</v>
      </c>
      <c r="F657" s="7" t="s">
        <v>4427</v>
      </c>
      <c r="G657" s="7" t="s">
        <v>5004</v>
      </c>
      <c r="J657" s="131">
        <v>6766</v>
      </c>
      <c r="K657" s="34">
        <f t="shared" si="15"/>
        <v>4032.5359999999996</v>
      </c>
      <c r="L657" t="s">
        <v>4139</v>
      </c>
    </row>
    <row r="658" spans="2:12" x14ac:dyDescent="0.25">
      <c r="B658" s="53" t="s">
        <v>4648</v>
      </c>
      <c r="C658" s="132" t="s">
        <v>4724</v>
      </c>
      <c r="D658" s="7" t="s">
        <v>136</v>
      </c>
      <c r="E658" s="7" t="s">
        <v>4116</v>
      </c>
      <c r="F658" s="7" t="s">
        <v>4428</v>
      </c>
      <c r="G658" s="7" t="s">
        <v>5004</v>
      </c>
      <c r="J658" s="131">
        <v>6766</v>
      </c>
      <c r="K658" s="34">
        <f t="shared" si="15"/>
        <v>4032.5359999999996</v>
      </c>
      <c r="L658" t="s">
        <v>4139</v>
      </c>
    </row>
    <row r="659" spans="2:12" x14ac:dyDescent="0.25">
      <c r="B659" s="53" t="s">
        <v>4649</v>
      </c>
      <c r="C659" s="132" t="s">
        <v>4724</v>
      </c>
      <c r="D659" s="7" t="s">
        <v>137</v>
      </c>
      <c r="E659" s="7" t="s">
        <v>4116</v>
      </c>
      <c r="F659" s="7" t="s">
        <v>4429</v>
      </c>
      <c r="G659" s="7" t="s">
        <v>5004</v>
      </c>
      <c r="J659" s="131">
        <v>6766</v>
      </c>
      <c r="K659" s="34">
        <f t="shared" si="15"/>
        <v>4032.5359999999996</v>
      </c>
      <c r="L659" t="s">
        <v>4139</v>
      </c>
    </row>
    <row r="660" spans="2:12" x14ac:dyDescent="0.25">
      <c r="B660" s="53" t="s">
        <v>4650</v>
      </c>
      <c r="C660" s="132" t="s">
        <v>4724</v>
      </c>
      <c r="D660" s="7" t="s">
        <v>146</v>
      </c>
      <c r="E660" s="7" t="s">
        <v>4116</v>
      </c>
      <c r="F660" s="7" t="s">
        <v>4430</v>
      </c>
      <c r="G660" s="7" t="s">
        <v>5003</v>
      </c>
      <c r="J660" s="131">
        <v>8333</v>
      </c>
      <c r="K660" s="34">
        <f t="shared" si="15"/>
        <v>4966.4679999999998</v>
      </c>
      <c r="L660" t="s">
        <v>4139</v>
      </c>
    </row>
    <row r="661" spans="2:12" x14ac:dyDescent="0.25">
      <c r="B661" s="53" t="s">
        <v>4651</v>
      </c>
      <c r="C661" s="132" t="s">
        <v>4724</v>
      </c>
      <c r="D661" s="7" t="s">
        <v>156</v>
      </c>
      <c r="E661" s="7" t="s">
        <v>4116</v>
      </c>
      <c r="F661" s="7" t="s">
        <v>4431</v>
      </c>
      <c r="G661" s="7" t="s">
        <v>5003</v>
      </c>
      <c r="J661" s="131">
        <v>8333</v>
      </c>
      <c r="K661" s="34">
        <f t="shared" si="15"/>
        <v>4966.4679999999998</v>
      </c>
      <c r="L661" t="s">
        <v>4139</v>
      </c>
    </row>
    <row r="662" spans="2:12" x14ac:dyDescent="0.25">
      <c r="B662" s="53" t="s">
        <v>4652</v>
      </c>
      <c r="C662" s="132" t="s">
        <v>4724</v>
      </c>
      <c r="D662" s="7" t="s">
        <v>148</v>
      </c>
      <c r="E662" s="7" t="s">
        <v>4116</v>
      </c>
      <c r="F662" s="7" t="s">
        <v>4432</v>
      </c>
      <c r="G662" s="7" t="s">
        <v>5003</v>
      </c>
      <c r="J662" s="131">
        <v>8333</v>
      </c>
      <c r="K662" s="34">
        <f t="shared" si="15"/>
        <v>4966.4679999999998</v>
      </c>
      <c r="L662" t="s">
        <v>4139</v>
      </c>
    </row>
    <row r="663" spans="2:12" x14ac:dyDescent="0.25">
      <c r="B663" s="53" t="s">
        <v>4653</v>
      </c>
      <c r="C663" s="132" t="s">
        <v>4724</v>
      </c>
      <c r="D663" s="7" t="s">
        <v>149</v>
      </c>
      <c r="E663" s="7" t="s">
        <v>4116</v>
      </c>
      <c r="F663" s="7" t="s">
        <v>4433</v>
      </c>
      <c r="G663" s="7" t="s">
        <v>5003</v>
      </c>
      <c r="J663" s="131">
        <v>8333</v>
      </c>
      <c r="K663" s="34">
        <f t="shared" si="15"/>
        <v>4966.4679999999998</v>
      </c>
      <c r="L663" t="s">
        <v>4139</v>
      </c>
    </row>
    <row r="664" spans="2:12" x14ac:dyDescent="0.25">
      <c r="B664" s="53" t="s">
        <v>4654</v>
      </c>
      <c r="C664" s="132" t="s">
        <v>4724</v>
      </c>
      <c r="D664" s="7" t="s">
        <v>4118</v>
      </c>
      <c r="E664" s="7" t="s">
        <v>4116</v>
      </c>
      <c r="F664" s="7" t="s">
        <v>4434</v>
      </c>
      <c r="G664" s="7" t="s">
        <v>5004</v>
      </c>
      <c r="J664" s="131">
        <v>6503</v>
      </c>
      <c r="K664" s="34">
        <f t="shared" si="15"/>
        <v>3875.788</v>
      </c>
      <c r="L664" t="s">
        <v>4139</v>
      </c>
    </row>
    <row r="665" spans="2:12" x14ac:dyDescent="0.25">
      <c r="B665" s="53" t="s">
        <v>4655</v>
      </c>
      <c r="C665" s="132" t="s">
        <v>4724</v>
      </c>
      <c r="D665" s="7" t="s">
        <v>4119</v>
      </c>
      <c r="E665" s="7" t="s">
        <v>4116</v>
      </c>
      <c r="F665" s="7" t="s">
        <v>4435</v>
      </c>
      <c r="G665" s="7" t="s">
        <v>5004</v>
      </c>
      <c r="J665" s="131">
        <v>6503</v>
      </c>
      <c r="K665" s="34">
        <f t="shared" si="15"/>
        <v>3875.788</v>
      </c>
      <c r="L665" t="s">
        <v>4139</v>
      </c>
    </row>
    <row r="666" spans="2:12" x14ac:dyDescent="0.25">
      <c r="B666" s="53" t="s">
        <v>4656</v>
      </c>
      <c r="C666" s="132" t="s">
        <v>4724</v>
      </c>
      <c r="D666" s="7" t="s">
        <v>4120</v>
      </c>
      <c r="E666" s="7" t="s">
        <v>4116</v>
      </c>
      <c r="F666" s="7" t="s">
        <v>4436</v>
      </c>
      <c r="G666" s="7" t="s">
        <v>5004</v>
      </c>
      <c r="J666" s="131">
        <v>6503</v>
      </c>
      <c r="K666" s="34">
        <f t="shared" si="15"/>
        <v>3875.788</v>
      </c>
      <c r="L666" t="s">
        <v>4139</v>
      </c>
    </row>
    <row r="667" spans="2:12" x14ac:dyDescent="0.25">
      <c r="B667" s="53" t="s">
        <v>4657</v>
      </c>
      <c r="C667" s="132" t="s">
        <v>4724</v>
      </c>
      <c r="D667" s="7" t="s">
        <v>4121</v>
      </c>
      <c r="E667" s="7" t="s">
        <v>4116</v>
      </c>
      <c r="F667" s="7" t="s">
        <v>4437</v>
      </c>
      <c r="G667" s="7" t="s">
        <v>5004</v>
      </c>
      <c r="J667" s="131">
        <v>6766</v>
      </c>
      <c r="K667" s="34">
        <f t="shared" si="15"/>
        <v>4032.5359999999996</v>
      </c>
      <c r="L667" t="s">
        <v>4139</v>
      </c>
    </row>
    <row r="668" spans="2:12" x14ac:dyDescent="0.25">
      <c r="B668" s="53" t="s">
        <v>4658</v>
      </c>
      <c r="C668" s="132" t="s">
        <v>4724</v>
      </c>
      <c r="D668" s="7" t="s">
        <v>4122</v>
      </c>
      <c r="E668" s="7" t="s">
        <v>4116</v>
      </c>
      <c r="F668" s="7" t="s">
        <v>4438</v>
      </c>
      <c r="G668" s="7" t="s">
        <v>5004</v>
      </c>
      <c r="J668" s="131">
        <v>6766</v>
      </c>
      <c r="K668" s="34">
        <f t="shared" si="15"/>
        <v>4032.5359999999996</v>
      </c>
      <c r="L668" t="s">
        <v>4139</v>
      </c>
    </row>
    <row r="669" spans="2:12" x14ac:dyDescent="0.25">
      <c r="B669" s="53" t="s">
        <v>4659</v>
      </c>
      <c r="C669" s="132" t="s">
        <v>4724</v>
      </c>
      <c r="D669" s="7" t="s">
        <v>4123</v>
      </c>
      <c r="E669" s="7" t="s">
        <v>4116</v>
      </c>
      <c r="F669" s="7" t="s">
        <v>4439</v>
      </c>
      <c r="G669" s="7" t="s">
        <v>5004</v>
      </c>
      <c r="J669" s="131">
        <v>6766</v>
      </c>
      <c r="K669" s="34">
        <f t="shared" si="15"/>
        <v>4032.5359999999996</v>
      </c>
      <c r="L669" t="s">
        <v>4139</v>
      </c>
    </row>
    <row r="670" spans="2:12" x14ac:dyDescent="0.25">
      <c r="B670" s="53" t="s">
        <v>4660</v>
      </c>
      <c r="C670" s="132" t="s">
        <v>4724</v>
      </c>
      <c r="D670" s="7" t="s">
        <v>4124</v>
      </c>
      <c r="E670" s="7" t="s">
        <v>4116</v>
      </c>
      <c r="F670" s="7" t="s">
        <v>4440</v>
      </c>
      <c r="G670" s="7" t="s">
        <v>5004</v>
      </c>
      <c r="J670" s="131">
        <v>6766</v>
      </c>
      <c r="K670" s="34">
        <f t="shared" si="15"/>
        <v>4032.5359999999996</v>
      </c>
      <c r="L670" t="s">
        <v>4139</v>
      </c>
    </row>
    <row r="671" spans="2:12" x14ac:dyDescent="0.25">
      <c r="B671" s="53" t="s">
        <v>4661</v>
      </c>
      <c r="C671" s="132" t="s">
        <v>4724</v>
      </c>
      <c r="D671" s="7" t="s">
        <v>4125</v>
      </c>
      <c r="E671" s="7" t="s">
        <v>4116</v>
      </c>
      <c r="F671" s="7" t="s">
        <v>4441</v>
      </c>
      <c r="G671" s="7" t="s">
        <v>5003</v>
      </c>
      <c r="J671" s="131">
        <v>8333</v>
      </c>
      <c r="K671" s="34">
        <f t="shared" si="15"/>
        <v>4966.4679999999998</v>
      </c>
      <c r="L671" t="s">
        <v>4139</v>
      </c>
    </row>
    <row r="672" spans="2:12" x14ac:dyDescent="0.25">
      <c r="B672" s="53" t="s">
        <v>4662</v>
      </c>
      <c r="C672" s="132" t="s">
        <v>4724</v>
      </c>
      <c r="D672" s="7" t="s">
        <v>4126</v>
      </c>
      <c r="E672" s="7" t="s">
        <v>4116</v>
      </c>
      <c r="F672" s="7" t="s">
        <v>4442</v>
      </c>
      <c r="G672" s="7" t="s">
        <v>5003</v>
      </c>
      <c r="J672" s="131">
        <v>8333</v>
      </c>
      <c r="K672" s="34">
        <f t="shared" si="15"/>
        <v>4966.4679999999998</v>
      </c>
      <c r="L672" t="s">
        <v>4139</v>
      </c>
    </row>
    <row r="673" spans="2:12" x14ac:dyDescent="0.25">
      <c r="B673" s="53" t="s">
        <v>4663</v>
      </c>
      <c r="C673" s="132" t="s">
        <v>4724</v>
      </c>
      <c r="D673" s="7" t="s">
        <v>4127</v>
      </c>
      <c r="E673" s="7" t="s">
        <v>4116</v>
      </c>
      <c r="F673" s="7" t="s">
        <v>4443</v>
      </c>
      <c r="G673" s="7" t="s">
        <v>5003</v>
      </c>
      <c r="J673" s="131">
        <v>8333</v>
      </c>
      <c r="K673" s="34">
        <f t="shared" si="15"/>
        <v>4966.4679999999998</v>
      </c>
      <c r="L673" t="s">
        <v>4139</v>
      </c>
    </row>
    <row r="674" spans="2:12" x14ac:dyDescent="0.25">
      <c r="B674" s="53" t="s">
        <v>4664</v>
      </c>
      <c r="C674" s="132" t="s">
        <v>4724</v>
      </c>
      <c r="D674" s="7" t="s">
        <v>674</v>
      </c>
      <c r="E674" s="7" t="s">
        <v>4116</v>
      </c>
      <c r="F674" s="7" t="s">
        <v>4444</v>
      </c>
      <c r="G674" s="7" t="s">
        <v>5003</v>
      </c>
      <c r="J674" s="131">
        <v>8333</v>
      </c>
      <c r="K674" s="34">
        <f t="shared" si="15"/>
        <v>4966.4679999999998</v>
      </c>
      <c r="L674" t="s">
        <v>4139</v>
      </c>
    </row>
    <row r="675" spans="2:12" x14ac:dyDescent="0.25">
      <c r="B675" s="53" t="s">
        <v>4665</v>
      </c>
      <c r="C675" s="132" t="s">
        <v>4724</v>
      </c>
      <c r="D675" s="7" t="s">
        <v>4128</v>
      </c>
      <c r="E675" s="7" t="s">
        <v>4116</v>
      </c>
      <c r="F675" s="7" t="s">
        <v>4445</v>
      </c>
      <c r="G675" s="7" t="s">
        <v>5004</v>
      </c>
      <c r="J675" s="131">
        <v>6503</v>
      </c>
      <c r="K675" s="34">
        <f t="shared" si="15"/>
        <v>3875.788</v>
      </c>
      <c r="L675" t="s">
        <v>4139</v>
      </c>
    </row>
    <row r="676" spans="2:12" x14ac:dyDescent="0.25">
      <c r="B676" s="53" t="s">
        <v>4666</v>
      </c>
      <c r="C676" s="132" t="s">
        <v>4724</v>
      </c>
      <c r="D676" s="7" t="s">
        <v>4129</v>
      </c>
      <c r="E676" s="7" t="s">
        <v>4116</v>
      </c>
      <c r="F676" s="7" t="s">
        <v>4446</v>
      </c>
      <c r="G676" s="7" t="s">
        <v>5004</v>
      </c>
      <c r="J676" s="131">
        <v>6503</v>
      </c>
      <c r="K676" s="34">
        <f t="shared" si="15"/>
        <v>3875.788</v>
      </c>
      <c r="L676" t="s">
        <v>4139</v>
      </c>
    </row>
    <row r="677" spans="2:12" x14ac:dyDescent="0.25">
      <c r="B677" s="53" t="s">
        <v>4667</v>
      </c>
      <c r="C677" s="132" t="s">
        <v>4724</v>
      </c>
      <c r="D677" s="7" t="s">
        <v>4130</v>
      </c>
      <c r="E677" s="7" t="s">
        <v>4116</v>
      </c>
      <c r="F677" s="7" t="s">
        <v>4447</v>
      </c>
      <c r="G677" s="7" t="s">
        <v>5004</v>
      </c>
      <c r="J677" s="131">
        <v>6503</v>
      </c>
      <c r="K677" s="34">
        <f t="shared" si="15"/>
        <v>3875.788</v>
      </c>
      <c r="L677" t="s">
        <v>4139</v>
      </c>
    </row>
    <row r="678" spans="2:12" x14ac:dyDescent="0.25">
      <c r="B678" s="53" t="s">
        <v>4668</v>
      </c>
      <c r="C678" s="132" t="s">
        <v>4724</v>
      </c>
      <c r="D678" s="7" t="s">
        <v>4131</v>
      </c>
      <c r="E678" s="7" t="s">
        <v>4116</v>
      </c>
      <c r="F678" s="7" t="s">
        <v>4448</v>
      </c>
      <c r="G678" s="7" t="s">
        <v>5004</v>
      </c>
      <c r="J678" s="131">
        <v>6766</v>
      </c>
      <c r="K678" s="34">
        <f t="shared" si="15"/>
        <v>4032.5359999999996</v>
      </c>
      <c r="L678" t="s">
        <v>4139</v>
      </c>
    </row>
    <row r="679" spans="2:12" x14ac:dyDescent="0.25">
      <c r="B679" s="53" t="s">
        <v>4669</v>
      </c>
      <c r="C679" s="132" t="s">
        <v>4724</v>
      </c>
      <c r="D679" s="7" t="s">
        <v>4132</v>
      </c>
      <c r="E679" s="7" t="s">
        <v>4116</v>
      </c>
      <c r="F679" s="7" t="s">
        <v>4449</v>
      </c>
      <c r="G679" s="7" t="s">
        <v>5004</v>
      </c>
      <c r="J679" s="131">
        <v>6766</v>
      </c>
      <c r="K679" s="34">
        <f t="shared" si="15"/>
        <v>4032.5359999999996</v>
      </c>
      <c r="L679" t="s">
        <v>4139</v>
      </c>
    </row>
    <row r="680" spans="2:12" x14ac:dyDescent="0.25">
      <c r="B680" s="53" t="s">
        <v>4670</v>
      </c>
      <c r="C680" s="132" t="s">
        <v>4724</v>
      </c>
      <c r="D680" s="7" t="s">
        <v>4133</v>
      </c>
      <c r="E680" s="7" t="s">
        <v>4116</v>
      </c>
      <c r="F680" s="7" t="s">
        <v>4450</v>
      </c>
      <c r="G680" s="7" t="s">
        <v>5004</v>
      </c>
      <c r="J680" s="131">
        <v>6766</v>
      </c>
      <c r="K680" s="34">
        <f t="shared" si="15"/>
        <v>4032.5359999999996</v>
      </c>
      <c r="L680" t="s">
        <v>4139</v>
      </c>
    </row>
    <row r="681" spans="2:12" x14ac:dyDescent="0.25">
      <c r="B681" s="53" t="s">
        <v>4671</v>
      </c>
      <c r="C681" s="132" t="s">
        <v>4724</v>
      </c>
      <c r="D681" s="7" t="s">
        <v>4134</v>
      </c>
      <c r="E681" s="7" t="s">
        <v>4116</v>
      </c>
      <c r="F681" s="7" t="s">
        <v>4451</v>
      </c>
      <c r="G681" s="7" t="s">
        <v>5004</v>
      </c>
      <c r="J681" s="131">
        <v>6766</v>
      </c>
      <c r="K681" s="34">
        <f t="shared" si="15"/>
        <v>4032.5359999999996</v>
      </c>
      <c r="L681" t="s">
        <v>4139</v>
      </c>
    </row>
    <row r="682" spans="2:12" x14ac:dyDescent="0.25">
      <c r="B682" s="53" t="s">
        <v>4672</v>
      </c>
      <c r="C682" s="132" t="s">
        <v>4724</v>
      </c>
      <c r="D682" s="7" t="s">
        <v>4135</v>
      </c>
      <c r="E682" s="7" t="s">
        <v>4116</v>
      </c>
      <c r="F682" s="7" t="s">
        <v>4452</v>
      </c>
      <c r="G682" s="7" t="s">
        <v>5003</v>
      </c>
      <c r="J682" s="131">
        <v>8333</v>
      </c>
      <c r="K682" s="34">
        <f t="shared" si="15"/>
        <v>4966.4679999999998</v>
      </c>
      <c r="L682" t="s">
        <v>4139</v>
      </c>
    </row>
    <row r="683" spans="2:12" x14ac:dyDescent="0.25">
      <c r="B683" s="53" t="s">
        <v>4673</v>
      </c>
      <c r="C683" s="132" t="s">
        <v>4724</v>
      </c>
      <c r="D683" s="7" t="s">
        <v>4136</v>
      </c>
      <c r="E683" s="7" t="s">
        <v>4116</v>
      </c>
      <c r="F683" s="7" t="s">
        <v>4453</v>
      </c>
      <c r="G683" s="7" t="s">
        <v>5003</v>
      </c>
      <c r="J683" s="131">
        <v>8333</v>
      </c>
      <c r="K683" s="34">
        <f t="shared" si="15"/>
        <v>4966.4679999999998</v>
      </c>
      <c r="L683" t="s">
        <v>4139</v>
      </c>
    </row>
    <row r="684" spans="2:12" x14ac:dyDescent="0.25">
      <c r="B684" s="53" t="s">
        <v>4674</v>
      </c>
      <c r="C684" s="132" t="s">
        <v>4724</v>
      </c>
      <c r="D684" s="7" t="s">
        <v>4137</v>
      </c>
      <c r="E684" s="7" t="s">
        <v>4116</v>
      </c>
      <c r="F684" s="7" t="s">
        <v>4454</v>
      </c>
      <c r="G684" s="7" t="s">
        <v>5003</v>
      </c>
      <c r="J684" s="131">
        <v>8333</v>
      </c>
      <c r="K684" s="34">
        <f t="shared" si="15"/>
        <v>4966.4679999999998</v>
      </c>
      <c r="L684" t="s">
        <v>4139</v>
      </c>
    </row>
    <row r="685" spans="2:12" x14ac:dyDescent="0.25">
      <c r="B685" s="53" t="s">
        <v>4675</v>
      </c>
      <c r="C685" s="132" t="s">
        <v>4724</v>
      </c>
      <c r="D685" s="7" t="s">
        <v>687</v>
      </c>
      <c r="E685" s="7" t="s">
        <v>4116</v>
      </c>
      <c r="F685" s="7" t="s">
        <v>4455</v>
      </c>
      <c r="G685" s="7" t="s">
        <v>5003</v>
      </c>
      <c r="J685" s="131">
        <v>8333</v>
      </c>
      <c r="K685" s="34">
        <f t="shared" si="15"/>
        <v>4966.4679999999998</v>
      </c>
      <c r="L685" t="s">
        <v>4139</v>
      </c>
    </row>
    <row r="686" spans="2:12" x14ac:dyDescent="0.25">
      <c r="B686" s="53" t="s">
        <v>4676</v>
      </c>
      <c r="C686" s="132" t="s">
        <v>4725</v>
      </c>
      <c r="D686" s="7" t="s">
        <v>124</v>
      </c>
      <c r="E686" s="7" t="s">
        <v>4116</v>
      </c>
      <c r="F686" s="2" t="s">
        <v>4412</v>
      </c>
      <c r="G686" s="7" t="s">
        <v>5004</v>
      </c>
      <c r="J686" s="131">
        <v>6503</v>
      </c>
      <c r="K686" s="34">
        <f t="shared" si="15"/>
        <v>3875.788</v>
      </c>
      <c r="L686" t="s">
        <v>4139</v>
      </c>
    </row>
    <row r="687" spans="2:12" x14ac:dyDescent="0.25">
      <c r="B687" s="53" t="s">
        <v>4677</v>
      </c>
      <c r="C687" s="132" t="s">
        <v>4725</v>
      </c>
      <c r="D687" s="7" t="s">
        <v>125</v>
      </c>
      <c r="E687" s="7" t="s">
        <v>4116</v>
      </c>
      <c r="F687" s="7" t="s">
        <v>4413</v>
      </c>
      <c r="G687" s="7" t="s">
        <v>5004</v>
      </c>
      <c r="J687" s="131">
        <v>6503</v>
      </c>
      <c r="K687" s="34">
        <f t="shared" si="15"/>
        <v>3875.788</v>
      </c>
      <c r="L687" t="s">
        <v>4139</v>
      </c>
    </row>
    <row r="688" spans="2:12" x14ac:dyDescent="0.25">
      <c r="B688" s="53" t="s">
        <v>4678</v>
      </c>
      <c r="C688" s="132" t="s">
        <v>4725</v>
      </c>
      <c r="D688" s="7" t="s">
        <v>126</v>
      </c>
      <c r="E688" s="7" t="s">
        <v>4116</v>
      </c>
      <c r="F688" s="7" t="s">
        <v>4414</v>
      </c>
      <c r="G688" s="7" t="s">
        <v>5004</v>
      </c>
      <c r="J688" s="131">
        <v>6503</v>
      </c>
      <c r="K688" s="34">
        <f t="shared" si="15"/>
        <v>3875.788</v>
      </c>
      <c r="L688" t="s">
        <v>4139</v>
      </c>
    </row>
    <row r="689" spans="2:12" x14ac:dyDescent="0.25">
      <c r="B689" s="53" t="s">
        <v>4679</v>
      </c>
      <c r="C689" s="132" t="s">
        <v>4725</v>
      </c>
      <c r="D689" s="7" t="s">
        <v>127</v>
      </c>
      <c r="E689" s="7" t="s">
        <v>4116</v>
      </c>
      <c r="F689" s="7" t="s">
        <v>4415</v>
      </c>
      <c r="G689" s="7" t="s">
        <v>5004</v>
      </c>
      <c r="J689" s="131">
        <v>6766</v>
      </c>
      <c r="K689" s="34">
        <f t="shared" si="15"/>
        <v>4032.5359999999996</v>
      </c>
      <c r="L689" t="s">
        <v>4139</v>
      </c>
    </row>
    <row r="690" spans="2:12" x14ac:dyDescent="0.25">
      <c r="B690" s="53" t="s">
        <v>4680</v>
      </c>
      <c r="C690" s="132" t="s">
        <v>4725</v>
      </c>
      <c r="D690" s="7" t="s">
        <v>128</v>
      </c>
      <c r="E690" s="7" t="s">
        <v>4116</v>
      </c>
      <c r="F690" s="7" t="s">
        <v>4416</v>
      </c>
      <c r="G690" s="7" t="s">
        <v>5004</v>
      </c>
      <c r="J690" s="131">
        <v>6766</v>
      </c>
      <c r="K690" s="34">
        <f t="shared" si="15"/>
        <v>4032.5359999999996</v>
      </c>
      <c r="L690" t="s">
        <v>4139</v>
      </c>
    </row>
    <row r="691" spans="2:12" x14ac:dyDescent="0.25">
      <c r="B691" s="53" t="s">
        <v>4681</v>
      </c>
      <c r="C691" s="132" t="s">
        <v>4725</v>
      </c>
      <c r="D691" s="7" t="s">
        <v>129</v>
      </c>
      <c r="E691" s="7" t="s">
        <v>4116</v>
      </c>
      <c r="F691" s="7" t="s">
        <v>4417</v>
      </c>
      <c r="G691" s="7" t="s">
        <v>5004</v>
      </c>
      <c r="J691" s="131">
        <v>6766</v>
      </c>
      <c r="K691" s="34">
        <f t="shared" si="15"/>
        <v>4032.5359999999996</v>
      </c>
      <c r="L691" t="s">
        <v>4139</v>
      </c>
    </row>
    <row r="692" spans="2:12" x14ac:dyDescent="0.25">
      <c r="B692" s="53" t="s">
        <v>4682</v>
      </c>
      <c r="C692" s="132" t="s">
        <v>4725</v>
      </c>
      <c r="D692" s="7" t="s">
        <v>130</v>
      </c>
      <c r="E692" s="7" t="s">
        <v>4116</v>
      </c>
      <c r="F692" s="7" t="s">
        <v>4418</v>
      </c>
      <c r="G692" s="7" t="s">
        <v>5004</v>
      </c>
      <c r="J692" s="131">
        <v>6766</v>
      </c>
      <c r="K692" s="34">
        <f t="shared" si="15"/>
        <v>4032.5359999999996</v>
      </c>
      <c r="L692" t="s">
        <v>4139</v>
      </c>
    </row>
    <row r="693" spans="2:12" x14ac:dyDescent="0.25">
      <c r="B693" s="53" t="s">
        <v>4683</v>
      </c>
      <c r="C693" s="132" t="s">
        <v>4725</v>
      </c>
      <c r="D693" s="7" t="s">
        <v>142</v>
      </c>
      <c r="E693" s="7" t="s">
        <v>4116</v>
      </c>
      <c r="F693" s="7" t="s">
        <v>4419</v>
      </c>
      <c r="G693" s="7" t="s">
        <v>5003</v>
      </c>
      <c r="J693" s="131">
        <v>8333</v>
      </c>
      <c r="K693" s="34">
        <f t="shared" si="15"/>
        <v>4966.4679999999998</v>
      </c>
      <c r="L693" t="s">
        <v>4139</v>
      </c>
    </row>
    <row r="694" spans="2:12" x14ac:dyDescent="0.25">
      <c r="B694" s="53" t="s">
        <v>4684</v>
      </c>
      <c r="C694" s="132" t="s">
        <v>4725</v>
      </c>
      <c r="D694" s="7" t="s">
        <v>143</v>
      </c>
      <c r="E694" s="7" t="s">
        <v>4116</v>
      </c>
      <c r="F694" s="7" t="s">
        <v>4420</v>
      </c>
      <c r="G694" s="7" t="s">
        <v>5003</v>
      </c>
      <c r="J694" s="131">
        <v>8333</v>
      </c>
      <c r="K694" s="34">
        <f t="shared" si="15"/>
        <v>4966.4679999999998</v>
      </c>
      <c r="L694" t="s">
        <v>4139</v>
      </c>
    </row>
    <row r="695" spans="2:12" x14ac:dyDescent="0.25">
      <c r="B695" s="53" t="s">
        <v>4685</v>
      </c>
      <c r="C695" s="132" t="s">
        <v>4725</v>
      </c>
      <c r="D695" s="7" t="s">
        <v>144</v>
      </c>
      <c r="E695" s="7" t="s">
        <v>4116</v>
      </c>
      <c r="F695" s="7" t="s">
        <v>4421</v>
      </c>
      <c r="G695" s="7" t="s">
        <v>5003</v>
      </c>
      <c r="J695" s="131">
        <v>8333</v>
      </c>
      <c r="K695" s="34">
        <f t="shared" si="15"/>
        <v>4966.4679999999998</v>
      </c>
      <c r="L695" t="s">
        <v>4139</v>
      </c>
    </row>
    <row r="696" spans="2:12" x14ac:dyDescent="0.25">
      <c r="B696" s="53" t="s">
        <v>4686</v>
      </c>
      <c r="C696" s="132" t="s">
        <v>4725</v>
      </c>
      <c r="D696" s="7" t="s">
        <v>145</v>
      </c>
      <c r="E696" s="7" t="s">
        <v>4116</v>
      </c>
      <c r="F696" s="7" t="s">
        <v>4422</v>
      </c>
      <c r="G696" s="7" t="s">
        <v>5003</v>
      </c>
      <c r="J696" s="131">
        <v>8333</v>
      </c>
      <c r="K696" s="34">
        <f t="shared" si="15"/>
        <v>4966.4679999999998</v>
      </c>
      <c r="L696" t="s">
        <v>4139</v>
      </c>
    </row>
    <row r="697" spans="2:12" x14ac:dyDescent="0.25">
      <c r="B697" s="53" t="s">
        <v>4687</v>
      </c>
      <c r="C697" s="132" t="s">
        <v>4725</v>
      </c>
      <c r="D697" s="7" t="s">
        <v>131</v>
      </c>
      <c r="E697" s="7" t="s">
        <v>4116</v>
      </c>
      <c r="F697" s="7" t="s">
        <v>4423</v>
      </c>
      <c r="G697" s="7" t="s">
        <v>5004</v>
      </c>
      <c r="J697" s="131">
        <v>6503</v>
      </c>
      <c r="K697" s="34">
        <f t="shared" si="15"/>
        <v>3875.788</v>
      </c>
      <c r="L697" t="s">
        <v>4139</v>
      </c>
    </row>
    <row r="698" spans="2:12" x14ac:dyDescent="0.25">
      <c r="B698" s="53" t="s">
        <v>4688</v>
      </c>
      <c r="C698" s="132" t="s">
        <v>4725</v>
      </c>
      <c r="D698" s="7" t="s">
        <v>132</v>
      </c>
      <c r="E698" s="7" t="s">
        <v>4116</v>
      </c>
      <c r="F698" s="7" t="s">
        <v>4424</v>
      </c>
      <c r="G698" s="7" t="s">
        <v>5004</v>
      </c>
      <c r="J698" s="131">
        <v>6503</v>
      </c>
      <c r="K698" s="34">
        <f t="shared" si="15"/>
        <v>3875.788</v>
      </c>
      <c r="L698" t="s">
        <v>4139</v>
      </c>
    </row>
    <row r="699" spans="2:12" x14ac:dyDescent="0.25">
      <c r="B699" s="53" t="s">
        <v>4689</v>
      </c>
      <c r="C699" s="132" t="s">
        <v>4725</v>
      </c>
      <c r="D699" s="7" t="s">
        <v>133</v>
      </c>
      <c r="E699" s="7" t="s">
        <v>4116</v>
      </c>
      <c r="F699" s="7" t="s">
        <v>4425</v>
      </c>
      <c r="G699" s="7" t="s">
        <v>5004</v>
      </c>
      <c r="J699" s="131">
        <v>6503</v>
      </c>
      <c r="K699" s="34">
        <f t="shared" si="15"/>
        <v>3875.788</v>
      </c>
      <c r="L699" t="s">
        <v>4139</v>
      </c>
    </row>
    <row r="700" spans="2:12" x14ac:dyDescent="0.25">
      <c r="B700" s="53" t="s">
        <v>4690</v>
      </c>
      <c r="C700" s="132" t="s">
        <v>4725</v>
      </c>
      <c r="D700" s="7" t="s">
        <v>134</v>
      </c>
      <c r="E700" s="7" t="s">
        <v>4116</v>
      </c>
      <c r="F700" s="7" t="s">
        <v>4426</v>
      </c>
      <c r="G700" s="7" t="s">
        <v>5004</v>
      </c>
      <c r="J700" s="131">
        <v>6766</v>
      </c>
      <c r="K700" s="34">
        <f t="shared" si="15"/>
        <v>4032.5359999999996</v>
      </c>
      <c r="L700" t="s">
        <v>4139</v>
      </c>
    </row>
    <row r="701" spans="2:12" x14ac:dyDescent="0.25">
      <c r="B701" s="53" t="s">
        <v>4691</v>
      </c>
      <c r="C701" s="132" t="s">
        <v>4725</v>
      </c>
      <c r="D701" s="7" t="s">
        <v>135</v>
      </c>
      <c r="E701" s="7" t="s">
        <v>4116</v>
      </c>
      <c r="F701" s="7" t="s">
        <v>4427</v>
      </c>
      <c r="G701" s="7" t="s">
        <v>5004</v>
      </c>
      <c r="J701" s="131">
        <v>6766</v>
      </c>
      <c r="K701" s="34">
        <f t="shared" si="15"/>
        <v>4032.5359999999996</v>
      </c>
      <c r="L701" t="s">
        <v>4139</v>
      </c>
    </row>
    <row r="702" spans="2:12" x14ac:dyDescent="0.25">
      <c r="B702" s="53" t="s">
        <v>4692</v>
      </c>
      <c r="C702" s="132" t="s">
        <v>4725</v>
      </c>
      <c r="D702" s="7" t="s">
        <v>136</v>
      </c>
      <c r="E702" s="7" t="s">
        <v>4116</v>
      </c>
      <c r="F702" s="7" t="s">
        <v>4428</v>
      </c>
      <c r="G702" s="7" t="s">
        <v>5004</v>
      </c>
      <c r="J702" s="131">
        <v>6766</v>
      </c>
      <c r="K702" s="34">
        <f t="shared" si="15"/>
        <v>4032.5359999999996</v>
      </c>
      <c r="L702" t="s">
        <v>4139</v>
      </c>
    </row>
    <row r="703" spans="2:12" x14ac:dyDescent="0.25">
      <c r="B703" s="53" t="s">
        <v>4693</v>
      </c>
      <c r="C703" s="132" t="s">
        <v>4725</v>
      </c>
      <c r="D703" s="7" t="s">
        <v>137</v>
      </c>
      <c r="E703" s="7" t="s">
        <v>4116</v>
      </c>
      <c r="F703" s="7" t="s">
        <v>4429</v>
      </c>
      <c r="G703" s="7" t="s">
        <v>5004</v>
      </c>
      <c r="J703" s="131">
        <v>6766</v>
      </c>
      <c r="K703" s="34">
        <f t="shared" ref="K703:K766" si="16">J703*0.596</f>
        <v>4032.5359999999996</v>
      </c>
      <c r="L703" t="s">
        <v>4139</v>
      </c>
    </row>
    <row r="704" spans="2:12" x14ac:dyDescent="0.25">
      <c r="B704" s="53" t="s">
        <v>4694</v>
      </c>
      <c r="C704" s="132" t="s">
        <v>4725</v>
      </c>
      <c r="D704" s="7" t="s">
        <v>146</v>
      </c>
      <c r="E704" s="7" t="s">
        <v>4116</v>
      </c>
      <c r="F704" s="7" t="s">
        <v>4430</v>
      </c>
      <c r="G704" s="7" t="s">
        <v>5003</v>
      </c>
      <c r="J704" s="131">
        <v>8333</v>
      </c>
      <c r="K704" s="34">
        <f t="shared" si="16"/>
        <v>4966.4679999999998</v>
      </c>
      <c r="L704" t="s">
        <v>4139</v>
      </c>
    </row>
    <row r="705" spans="2:12" x14ac:dyDescent="0.25">
      <c r="B705" s="53" t="s">
        <v>4695</v>
      </c>
      <c r="C705" s="132" t="s">
        <v>4725</v>
      </c>
      <c r="D705" s="7" t="s">
        <v>156</v>
      </c>
      <c r="E705" s="7" t="s">
        <v>4116</v>
      </c>
      <c r="F705" s="7" t="s">
        <v>4431</v>
      </c>
      <c r="G705" s="7" t="s">
        <v>5003</v>
      </c>
      <c r="J705" s="131">
        <v>8333</v>
      </c>
      <c r="K705" s="34">
        <f t="shared" si="16"/>
        <v>4966.4679999999998</v>
      </c>
      <c r="L705" t="s">
        <v>4139</v>
      </c>
    </row>
    <row r="706" spans="2:12" x14ac:dyDescent="0.25">
      <c r="B706" s="53" t="s">
        <v>4696</v>
      </c>
      <c r="C706" s="132" t="s">
        <v>4725</v>
      </c>
      <c r="D706" s="7" t="s">
        <v>148</v>
      </c>
      <c r="E706" s="7" t="s">
        <v>4116</v>
      </c>
      <c r="F706" s="7" t="s">
        <v>4432</v>
      </c>
      <c r="G706" s="7" t="s">
        <v>5003</v>
      </c>
      <c r="J706" s="131">
        <v>8333</v>
      </c>
      <c r="K706" s="34">
        <f t="shared" si="16"/>
        <v>4966.4679999999998</v>
      </c>
      <c r="L706" t="s">
        <v>4139</v>
      </c>
    </row>
    <row r="707" spans="2:12" x14ac:dyDescent="0.25">
      <c r="B707" s="53" t="s">
        <v>4697</v>
      </c>
      <c r="C707" s="132" t="s">
        <v>4725</v>
      </c>
      <c r="D707" s="7" t="s">
        <v>149</v>
      </c>
      <c r="E707" s="7" t="s">
        <v>4116</v>
      </c>
      <c r="F707" s="7" t="s">
        <v>4433</v>
      </c>
      <c r="G707" s="7" t="s">
        <v>5003</v>
      </c>
      <c r="J707" s="131">
        <v>8333</v>
      </c>
      <c r="K707" s="34">
        <f t="shared" si="16"/>
        <v>4966.4679999999998</v>
      </c>
      <c r="L707" t="s">
        <v>4139</v>
      </c>
    </row>
    <row r="708" spans="2:12" x14ac:dyDescent="0.25">
      <c r="B708" s="53" t="s">
        <v>4698</v>
      </c>
      <c r="C708" s="132" t="s">
        <v>4725</v>
      </c>
      <c r="D708" s="7" t="s">
        <v>4118</v>
      </c>
      <c r="E708" s="7" t="s">
        <v>4116</v>
      </c>
      <c r="F708" s="7" t="s">
        <v>4434</v>
      </c>
      <c r="G708" s="7" t="s">
        <v>5004</v>
      </c>
      <c r="J708" s="131">
        <v>6503</v>
      </c>
      <c r="K708" s="34">
        <f t="shared" si="16"/>
        <v>3875.788</v>
      </c>
      <c r="L708" t="s">
        <v>4139</v>
      </c>
    </row>
    <row r="709" spans="2:12" x14ac:dyDescent="0.25">
      <c r="B709" s="53" t="s">
        <v>4699</v>
      </c>
      <c r="C709" s="132" t="s">
        <v>4725</v>
      </c>
      <c r="D709" s="7" t="s">
        <v>4119</v>
      </c>
      <c r="E709" s="7" t="s">
        <v>4116</v>
      </c>
      <c r="F709" s="7" t="s">
        <v>4435</v>
      </c>
      <c r="G709" s="7" t="s">
        <v>5004</v>
      </c>
      <c r="J709" s="131">
        <v>6503</v>
      </c>
      <c r="K709" s="34">
        <f t="shared" si="16"/>
        <v>3875.788</v>
      </c>
      <c r="L709" t="s">
        <v>4139</v>
      </c>
    </row>
    <row r="710" spans="2:12" x14ac:dyDescent="0.25">
      <c r="B710" s="53" t="s">
        <v>4700</v>
      </c>
      <c r="C710" s="132" t="s">
        <v>4725</v>
      </c>
      <c r="D710" s="7" t="s">
        <v>4120</v>
      </c>
      <c r="E710" s="7" t="s">
        <v>4116</v>
      </c>
      <c r="F710" s="7" t="s">
        <v>4436</v>
      </c>
      <c r="G710" s="7" t="s">
        <v>5004</v>
      </c>
      <c r="J710" s="131">
        <v>6503</v>
      </c>
      <c r="K710" s="34">
        <f t="shared" si="16"/>
        <v>3875.788</v>
      </c>
      <c r="L710" t="s">
        <v>4139</v>
      </c>
    </row>
    <row r="711" spans="2:12" x14ac:dyDescent="0.25">
      <c r="B711" s="53" t="s">
        <v>4701</v>
      </c>
      <c r="C711" s="132" t="s">
        <v>4725</v>
      </c>
      <c r="D711" s="7" t="s">
        <v>4121</v>
      </c>
      <c r="E711" s="7" t="s">
        <v>4116</v>
      </c>
      <c r="F711" s="7" t="s">
        <v>4437</v>
      </c>
      <c r="G711" s="7" t="s">
        <v>5004</v>
      </c>
      <c r="J711" s="131">
        <v>6766</v>
      </c>
      <c r="K711" s="34">
        <f t="shared" si="16"/>
        <v>4032.5359999999996</v>
      </c>
      <c r="L711" t="s">
        <v>4139</v>
      </c>
    </row>
    <row r="712" spans="2:12" x14ac:dyDescent="0.25">
      <c r="B712" s="53" t="s">
        <v>4702</v>
      </c>
      <c r="C712" s="132" t="s">
        <v>4725</v>
      </c>
      <c r="D712" s="7" t="s">
        <v>4122</v>
      </c>
      <c r="E712" s="7" t="s">
        <v>4116</v>
      </c>
      <c r="F712" s="7" t="s">
        <v>4438</v>
      </c>
      <c r="G712" s="7" t="s">
        <v>5004</v>
      </c>
      <c r="J712" s="131">
        <v>6766</v>
      </c>
      <c r="K712" s="34">
        <f t="shared" si="16"/>
        <v>4032.5359999999996</v>
      </c>
      <c r="L712" t="s">
        <v>4139</v>
      </c>
    </row>
    <row r="713" spans="2:12" x14ac:dyDescent="0.25">
      <c r="B713" s="53" t="s">
        <v>4703</v>
      </c>
      <c r="C713" s="132" t="s">
        <v>4725</v>
      </c>
      <c r="D713" s="7" t="s">
        <v>4123</v>
      </c>
      <c r="E713" s="7" t="s">
        <v>4116</v>
      </c>
      <c r="F713" s="7" t="s">
        <v>4439</v>
      </c>
      <c r="G713" s="7" t="s">
        <v>5004</v>
      </c>
      <c r="J713" s="131">
        <v>6766</v>
      </c>
      <c r="K713" s="34">
        <f t="shared" si="16"/>
        <v>4032.5359999999996</v>
      </c>
      <c r="L713" t="s">
        <v>4139</v>
      </c>
    </row>
    <row r="714" spans="2:12" x14ac:dyDescent="0.25">
      <c r="B714" s="53" t="s">
        <v>4704</v>
      </c>
      <c r="C714" s="132" t="s">
        <v>4725</v>
      </c>
      <c r="D714" s="7" t="s">
        <v>4124</v>
      </c>
      <c r="E714" s="7" t="s">
        <v>4116</v>
      </c>
      <c r="F714" s="7" t="s">
        <v>4440</v>
      </c>
      <c r="G714" s="7" t="s">
        <v>5004</v>
      </c>
      <c r="J714" s="131">
        <v>6766</v>
      </c>
      <c r="K714" s="34">
        <f t="shared" si="16"/>
        <v>4032.5359999999996</v>
      </c>
      <c r="L714" t="s">
        <v>4139</v>
      </c>
    </row>
    <row r="715" spans="2:12" x14ac:dyDescent="0.25">
      <c r="B715" s="53" t="s">
        <v>4705</v>
      </c>
      <c r="C715" s="132" t="s">
        <v>4725</v>
      </c>
      <c r="D715" s="7" t="s">
        <v>4125</v>
      </c>
      <c r="E715" s="7" t="s">
        <v>4116</v>
      </c>
      <c r="F715" s="7" t="s">
        <v>4441</v>
      </c>
      <c r="G715" s="7" t="s">
        <v>5003</v>
      </c>
      <c r="J715" s="131">
        <v>8333</v>
      </c>
      <c r="K715" s="34">
        <f t="shared" si="16"/>
        <v>4966.4679999999998</v>
      </c>
      <c r="L715" t="s">
        <v>4139</v>
      </c>
    </row>
    <row r="716" spans="2:12" x14ac:dyDescent="0.25">
      <c r="B716" s="53" t="s">
        <v>4706</v>
      </c>
      <c r="C716" s="132" t="s">
        <v>4725</v>
      </c>
      <c r="D716" s="7" t="s">
        <v>4126</v>
      </c>
      <c r="E716" s="7" t="s">
        <v>4116</v>
      </c>
      <c r="F716" s="7" t="s">
        <v>4442</v>
      </c>
      <c r="G716" s="7" t="s">
        <v>5003</v>
      </c>
      <c r="J716" s="131">
        <v>8333</v>
      </c>
      <c r="K716" s="34">
        <f t="shared" si="16"/>
        <v>4966.4679999999998</v>
      </c>
      <c r="L716" t="s">
        <v>4139</v>
      </c>
    </row>
    <row r="717" spans="2:12" x14ac:dyDescent="0.25">
      <c r="B717" s="53" t="s">
        <v>4707</v>
      </c>
      <c r="C717" s="132" t="s">
        <v>4725</v>
      </c>
      <c r="D717" s="7" t="s">
        <v>4127</v>
      </c>
      <c r="E717" s="7" t="s">
        <v>4116</v>
      </c>
      <c r="F717" s="7" t="s">
        <v>4443</v>
      </c>
      <c r="G717" s="7" t="s">
        <v>5003</v>
      </c>
      <c r="J717" s="131">
        <v>8333</v>
      </c>
      <c r="K717" s="34">
        <f t="shared" si="16"/>
        <v>4966.4679999999998</v>
      </c>
      <c r="L717" t="s">
        <v>4139</v>
      </c>
    </row>
    <row r="718" spans="2:12" x14ac:dyDescent="0.25">
      <c r="B718" s="53" t="s">
        <v>4708</v>
      </c>
      <c r="C718" s="132" t="s">
        <v>4725</v>
      </c>
      <c r="D718" s="7" t="s">
        <v>674</v>
      </c>
      <c r="E718" s="7" t="s">
        <v>4116</v>
      </c>
      <c r="F718" s="7" t="s">
        <v>4444</v>
      </c>
      <c r="G718" s="7" t="s">
        <v>5003</v>
      </c>
      <c r="J718" s="131">
        <v>8333</v>
      </c>
      <c r="K718" s="34">
        <f t="shared" si="16"/>
        <v>4966.4679999999998</v>
      </c>
      <c r="L718" t="s">
        <v>4139</v>
      </c>
    </row>
    <row r="719" spans="2:12" x14ac:dyDescent="0.25">
      <c r="B719" s="53" t="s">
        <v>4709</v>
      </c>
      <c r="C719" s="132" t="s">
        <v>4725</v>
      </c>
      <c r="D719" s="7" t="s">
        <v>4128</v>
      </c>
      <c r="E719" s="7" t="s">
        <v>4116</v>
      </c>
      <c r="F719" s="7" t="s">
        <v>4445</v>
      </c>
      <c r="G719" s="7" t="s">
        <v>5004</v>
      </c>
      <c r="J719" s="131">
        <v>6503</v>
      </c>
      <c r="K719" s="34">
        <f t="shared" si="16"/>
        <v>3875.788</v>
      </c>
      <c r="L719" t="s">
        <v>4139</v>
      </c>
    </row>
    <row r="720" spans="2:12" x14ac:dyDescent="0.25">
      <c r="B720" s="53" t="s">
        <v>4710</v>
      </c>
      <c r="C720" s="132" t="s">
        <v>4725</v>
      </c>
      <c r="D720" s="7" t="s">
        <v>4129</v>
      </c>
      <c r="E720" s="7" t="s">
        <v>4116</v>
      </c>
      <c r="F720" s="7" t="s">
        <v>4446</v>
      </c>
      <c r="G720" s="7" t="s">
        <v>5004</v>
      </c>
      <c r="J720" s="131">
        <v>6503</v>
      </c>
      <c r="K720" s="34">
        <f t="shared" si="16"/>
        <v>3875.788</v>
      </c>
      <c r="L720" t="s">
        <v>4139</v>
      </c>
    </row>
    <row r="721" spans="1:12" x14ac:dyDescent="0.25">
      <c r="B721" s="53" t="s">
        <v>4711</v>
      </c>
      <c r="C721" s="132" t="s">
        <v>4725</v>
      </c>
      <c r="D721" s="7" t="s">
        <v>4130</v>
      </c>
      <c r="E721" s="7" t="s">
        <v>4116</v>
      </c>
      <c r="F721" s="7" t="s">
        <v>4447</v>
      </c>
      <c r="G721" s="7" t="s">
        <v>5004</v>
      </c>
      <c r="J721" s="131">
        <v>6503</v>
      </c>
      <c r="K721" s="34">
        <f t="shared" si="16"/>
        <v>3875.788</v>
      </c>
      <c r="L721" t="s">
        <v>4139</v>
      </c>
    </row>
    <row r="722" spans="1:12" x14ac:dyDescent="0.25">
      <c r="B722" s="53" t="s">
        <v>4712</v>
      </c>
      <c r="C722" s="132" t="s">
        <v>4725</v>
      </c>
      <c r="D722" s="7" t="s">
        <v>4131</v>
      </c>
      <c r="E722" s="7" t="s">
        <v>4116</v>
      </c>
      <c r="F722" s="7" t="s">
        <v>4448</v>
      </c>
      <c r="G722" s="7" t="s">
        <v>5004</v>
      </c>
      <c r="J722" s="131">
        <v>6766</v>
      </c>
      <c r="K722" s="34">
        <f t="shared" si="16"/>
        <v>4032.5359999999996</v>
      </c>
      <c r="L722" t="s">
        <v>4139</v>
      </c>
    </row>
    <row r="723" spans="1:12" x14ac:dyDescent="0.25">
      <c r="B723" s="53" t="s">
        <v>4713</v>
      </c>
      <c r="C723" s="132" t="s">
        <v>4725</v>
      </c>
      <c r="D723" s="7" t="s">
        <v>4132</v>
      </c>
      <c r="E723" s="7" t="s">
        <v>4116</v>
      </c>
      <c r="F723" s="7" t="s">
        <v>4449</v>
      </c>
      <c r="G723" s="7" t="s">
        <v>5004</v>
      </c>
      <c r="J723" s="131">
        <v>6766</v>
      </c>
      <c r="K723" s="34">
        <f t="shared" si="16"/>
        <v>4032.5359999999996</v>
      </c>
      <c r="L723" t="s">
        <v>4139</v>
      </c>
    </row>
    <row r="724" spans="1:12" x14ac:dyDescent="0.25">
      <c r="B724" s="53" t="s">
        <v>4714</v>
      </c>
      <c r="C724" s="132" t="s">
        <v>4725</v>
      </c>
      <c r="D724" s="7" t="s">
        <v>4133</v>
      </c>
      <c r="E724" s="7" t="s">
        <v>4116</v>
      </c>
      <c r="F724" s="7" t="s">
        <v>4450</v>
      </c>
      <c r="G724" s="7" t="s">
        <v>5004</v>
      </c>
      <c r="J724" s="131">
        <v>6766</v>
      </c>
      <c r="K724" s="34">
        <f t="shared" si="16"/>
        <v>4032.5359999999996</v>
      </c>
      <c r="L724" t="s">
        <v>4139</v>
      </c>
    </row>
    <row r="725" spans="1:12" x14ac:dyDescent="0.25">
      <c r="B725" s="53" t="s">
        <v>4715</v>
      </c>
      <c r="C725" s="132" t="s">
        <v>4725</v>
      </c>
      <c r="D725" s="7" t="s">
        <v>4134</v>
      </c>
      <c r="E725" s="7" t="s">
        <v>4116</v>
      </c>
      <c r="F725" s="7" t="s">
        <v>4451</v>
      </c>
      <c r="G725" s="7" t="s">
        <v>5004</v>
      </c>
      <c r="J725" s="131">
        <v>6766</v>
      </c>
      <c r="K725" s="34">
        <f t="shared" si="16"/>
        <v>4032.5359999999996</v>
      </c>
      <c r="L725" t="s">
        <v>4139</v>
      </c>
    </row>
    <row r="726" spans="1:12" x14ac:dyDescent="0.25">
      <c r="B726" s="53" t="s">
        <v>4716</v>
      </c>
      <c r="C726" s="132" t="s">
        <v>4725</v>
      </c>
      <c r="D726" s="7" t="s">
        <v>4135</v>
      </c>
      <c r="E726" s="7" t="s">
        <v>4116</v>
      </c>
      <c r="F726" s="7" t="s">
        <v>4452</v>
      </c>
      <c r="G726" s="7" t="s">
        <v>5003</v>
      </c>
      <c r="J726" s="131">
        <v>8333</v>
      </c>
      <c r="K726" s="34">
        <f t="shared" si="16"/>
        <v>4966.4679999999998</v>
      </c>
      <c r="L726" t="s">
        <v>4139</v>
      </c>
    </row>
    <row r="727" spans="1:12" x14ac:dyDescent="0.25">
      <c r="B727" s="53" t="s">
        <v>4717</v>
      </c>
      <c r="C727" s="132" t="s">
        <v>4725</v>
      </c>
      <c r="D727" s="7" t="s">
        <v>4136</v>
      </c>
      <c r="E727" s="7" t="s">
        <v>4116</v>
      </c>
      <c r="F727" s="7" t="s">
        <v>4453</v>
      </c>
      <c r="G727" s="7" t="s">
        <v>5003</v>
      </c>
      <c r="J727" s="131">
        <v>8333</v>
      </c>
      <c r="K727" s="34">
        <f t="shared" si="16"/>
        <v>4966.4679999999998</v>
      </c>
      <c r="L727" t="s">
        <v>4139</v>
      </c>
    </row>
    <row r="728" spans="1:12" x14ac:dyDescent="0.25">
      <c r="B728" s="53" t="s">
        <v>4718</v>
      </c>
      <c r="C728" s="132" t="s">
        <v>4725</v>
      </c>
      <c r="D728" s="7" t="s">
        <v>4137</v>
      </c>
      <c r="E728" s="7" t="s">
        <v>4116</v>
      </c>
      <c r="F728" s="7" t="s">
        <v>4454</v>
      </c>
      <c r="G728" s="7" t="s">
        <v>5003</v>
      </c>
      <c r="J728" s="131">
        <v>8333</v>
      </c>
      <c r="K728" s="34">
        <f t="shared" si="16"/>
        <v>4966.4679999999998</v>
      </c>
      <c r="L728" t="s">
        <v>4139</v>
      </c>
    </row>
    <row r="729" spans="1:12" x14ac:dyDescent="0.25">
      <c r="B729" s="53" t="s">
        <v>4719</v>
      </c>
      <c r="C729" s="132" t="s">
        <v>4725</v>
      </c>
      <c r="D729" s="7" t="s">
        <v>687</v>
      </c>
      <c r="E729" s="7" t="s">
        <v>4116</v>
      </c>
      <c r="F729" s="7" t="s">
        <v>4455</v>
      </c>
      <c r="G729" s="7" t="s">
        <v>5003</v>
      </c>
      <c r="J729" s="131">
        <v>8333</v>
      </c>
      <c r="K729" s="34">
        <f t="shared" si="16"/>
        <v>4966.4679999999998</v>
      </c>
      <c r="L729" t="s">
        <v>4139</v>
      </c>
    </row>
    <row r="730" spans="1:12" s="62" customFormat="1" x14ac:dyDescent="0.25">
      <c r="A730" s="62" t="s">
        <v>4998</v>
      </c>
      <c r="B730" s="81" t="s">
        <v>4116</v>
      </c>
      <c r="J730" s="63"/>
      <c r="K730" s="65"/>
    </row>
    <row r="731" spans="1:12" x14ac:dyDescent="0.25">
      <c r="B731" s="53" t="s">
        <v>4726</v>
      </c>
      <c r="C731" s="132" t="s">
        <v>4990</v>
      </c>
      <c r="D731" s="7" t="s">
        <v>124</v>
      </c>
      <c r="E731" s="7" t="s">
        <v>4116</v>
      </c>
      <c r="F731" s="2" t="s">
        <v>4143</v>
      </c>
      <c r="G731" s="7" t="s">
        <v>5002</v>
      </c>
      <c r="J731" s="131">
        <v>12722</v>
      </c>
      <c r="K731" s="34">
        <f t="shared" si="16"/>
        <v>7582.3119999999999</v>
      </c>
      <c r="L731" t="s">
        <v>4139</v>
      </c>
    </row>
    <row r="732" spans="1:12" x14ac:dyDescent="0.25">
      <c r="B732" s="53" t="s">
        <v>4727</v>
      </c>
      <c r="C732" s="132" t="s">
        <v>4990</v>
      </c>
      <c r="D732" s="7" t="s">
        <v>125</v>
      </c>
      <c r="E732" s="7" t="s">
        <v>4116</v>
      </c>
      <c r="F732" s="7" t="s">
        <v>4142</v>
      </c>
      <c r="G732" s="7" t="s">
        <v>5002</v>
      </c>
      <c r="J732" s="131">
        <v>12722</v>
      </c>
      <c r="K732" s="34">
        <f t="shared" si="16"/>
        <v>7582.3119999999999</v>
      </c>
      <c r="L732" t="s">
        <v>4139</v>
      </c>
    </row>
    <row r="733" spans="1:12" x14ac:dyDescent="0.25">
      <c r="B733" s="53" t="s">
        <v>4728</v>
      </c>
      <c r="C733" s="132" t="s">
        <v>4990</v>
      </c>
      <c r="D733" s="7" t="s">
        <v>126</v>
      </c>
      <c r="E733" s="7" t="s">
        <v>4116</v>
      </c>
      <c r="F733" s="7" t="s">
        <v>4141</v>
      </c>
      <c r="G733" s="7" t="s">
        <v>5002</v>
      </c>
      <c r="J733" s="131">
        <v>12722</v>
      </c>
      <c r="K733" s="34">
        <f t="shared" si="16"/>
        <v>7582.3119999999999</v>
      </c>
      <c r="L733" t="s">
        <v>4139</v>
      </c>
    </row>
    <row r="734" spans="1:12" x14ac:dyDescent="0.25">
      <c r="B734" s="53" t="s">
        <v>4729</v>
      </c>
      <c r="C734" s="132" t="s">
        <v>4990</v>
      </c>
      <c r="D734" s="7" t="s">
        <v>127</v>
      </c>
      <c r="E734" s="7" t="s">
        <v>4116</v>
      </c>
      <c r="F734" s="7" t="s">
        <v>4144</v>
      </c>
      <c r="G734" s="7" t="s">
        <v>5002</v>
      </c>
      <c r="J734" s="131">
        <v>13105</v>
      </c>
      <c r="K734" s="34">
        <f t="shared" si="16"/>
        <v>7810.58</v>
      </c>
      <c r="L734" t="s">
        <v>4139</v>
      </c>
    </row>
    <row r="735" spans="1:12" x14ac:dyDescent="0.25">
      <c r="B735" s="53" t="s">
        <v>4730</v>
      </c>
      <c r="C735" s="132" t="s">
        <v>4990</v>
      </c>
      <c r="D735" s="7" t="s">
        <v>128</v>
      </c>
      <c r="E735" s="7" t="s">
        <v>4116</v>
      </c>
      <c r="F735" s="7" t="s">
        <v>4148</v>
      </c>
      <c r="G735" s="7" t="s">
        <v>5002</v>
      </c>
      <c r="J735" s="131">
        <v>13105</v>
      </c>
      <c r="K735" s="34">
        <f t="shared" si="16"/>
        <v>7810.58</v>
      </c>
      <c r="L735" t="s">
        <v>4139</v>
      </c>
    </row>
    <row r="736" spans="1:12" x14ac:dyDescent="0.25">
      <c r="B736" s="53" t="s">
        <v>4731</v>
      </c>
      <c r="C736" s="132" t="s">
        <v>4990</v>
      </c>
      <c r="D736" s="7" t="s">
        <v>129</v>
      </c>
      <c r="E736" s="7" t="s">
        <v>4116</v>
      </c>
      <c r="F736" s="7" t="s">
        <v>4150</v>
      </c>
      <c r="G736" s="7" t="s">
        <v>5002</v>
      </c>
      <c r="J736" s="131">
        <v>13105</v>
      </c>
      <c r="K736" s="34">
        <f t="shared" si="16"/>
        <v>7810.58</v>
      </c>
      <c r="L736" t="s">
        <v>4139</v>
      </c>
    </row>
    <row r="737" spans="2:12" x14ac:dyDescent="0.25">
      <c r="B737" s="53" t="s">
        <v>4732</v>
      </c>
      <c r="C737" s="132" t="s">
        <v>4990</v>
      </c>
      <c r="D737" s="7" t="s">
        <v>130</v>
      </c>
      <c r="E737" s="7" t="s">
        <v>4116</v>
      </c>
      <c r="F737" s="7" t="s">
        <v>4149</v>
      </c>
      <c r="G737" s="7" t="s">
        <v>5002</v>
      </c>
      <c r="J737" s="131">
        <v>13105</v>
      </c>
      <c r="K737" s="34">
        <f t="shared" si="16"/>
        <v>7810.58</v>
      </c>
      <c r="L737" t="s">
        <v>4139</v>
      </c>
    </row>
    <row r="738" spans="2:12" x14ac:dyDescent="0.25">
      <c r="B738" s="53" t="s">
        <v>4733</v>
      </c>
      <c r="C738" s="132" t="s">
        <v>4990</v>
      </c>
      <c r="D738" s="7" t="s">
        <v>142</v>
      </c>
      <c r="E738" s="7" t="s">
        <v>4116</v>
      </c>
      <c r="F738" s="7" t="s">
        <v>4151</v>
      </c>
      <c r="G738" s="7" t="s">
        <v>5002</v>
      </c>
      <c r="J738" s="131">
        <v>15663</v>
      </c>
      <c r="K738" s="34">
        <f t="shared" si="16"/>
        <v>9335.1479999999992</v>
      </c>
      <c r="L738" t="s">
        <v>4139</v>
      </c>
    </row>
    <row r="739" spans="2:12" x14ac:dyDescent="0.25">
      <c r="B739" s="53" t="s">
        <v>4734</v>
      </c>
      <c r="C739" s="132" t="s">
        <v>4990</v>
      </c>
      <c r="D739" s="7" t="s">
        <v>143</v>
      </c>
      <c r="E739" s="7" t="s">
        <v>4116</v>
      </c>
      <c r="F739" s="7" t="s">
        <v>4152</v>
      </c>
      <c r="G739" s="7" t="s">
        <v>5002</v>
      </c>
      <c r="J739" s="131">
        <v>15663</v>
      </c>
      <c r="K739" s="34">
        <f t="shared" si="16"/>
        <v>9335.1479999999992</v>
      </c>
      <c r="L739" t="s">
        <v>4139</v>
      </c>
    </row>
    <row r="740" spans="2:12" x14ac:dyDescent="0.25">
      <c r="B740" s="53" t="s">
        <v>4735</v>
      </c>
      <c r="C740" s="132" t="s">
        <v>4990</v>
      </c>
      <c r="D740" s="7" t="s">
        <v>144</v>
      </c>
      <c r="E740" s="7" t="s">
        <v>4116</v>
      </c>
      <c r="F740" s="7" t="s">
        <v>4153</v>
      </c>
      <c r="G740" s="7" t="s">
        <v>5002</v>
      </c>
      <c r="J740" s="131">
        <v>15663</v>
      </c>
      <c r="K740" s="34">
        <f t="shared" si="16"/>
        <v>9335.1479999999992</v>
      </c>
      <c r="L740" t="s">
        <v>4139</v>
      </c>
    </row>
    <row r="741" spans="2:12" x14ac:dyDescent="0.25">
      <c r="B741" s="53" t="s">
        <v>4736</v>
      </c>
      <c r="C741" s="132" t="s">
        <v>4990</v>
      </c>
      <c r="D741" s="7" t="s">
        <v>145</v>
      </c>
      <c r="E741" s="7" t="s">
        <v>4116</v>
      </c>
      <c r="F741" s="7" t="s">
        <v>4170</v>
      </c>
      <c r="G741" s="7" t="s">
        <v>5002</v>
      </c>
      <c r="J741" s="131">
        <v>15663</v>
      </c>
      <c r="K741" s="34">
        <f t="shared" si="16"/>
        <v>9335.1479999999992</v>
      </c>
      <c r="L741" t="s">
        <v>4139</v>
      </c>
    </row>
    <row r="742" spans="2:12" x14ac:dyDescent="0.25">
      <c r="B742" s="53" t="s">
        <v>4737</v>
      </c>
      <c r="C742" s="132" t="s">
        <v>4990</v>
      </c>
      <c r="D742" s="7" t="s">
        <v>131</v>
      </c>
      <c r="E742" s="7" t="s">
        <v>4116</v>
      </c>
      <c r="F742" s="7" t="s">
        <v>4157</v>
      </c>
      <c r="G742" s="7" t="s">
        <v>5002</v>
      </c>
      <c r="J742" s="131">
        <v>12722</v>
      </c>
      <c r="K742" s="34">
        <f t="shared" si="16"/>
        <v>7582.3119999999999</v>
      </c>
      <c r="L742" t="s">
        <v>4139</v>
      </c>
    </row>
    <row r="743" spans="2:12" x14ac:dyDescent="0.25">
      <c r="B743" s="53" t="s">
        <v>4738</v>
      </c>
      <c r="C743" s="132" t="s">
        <v>4990</v>
      </c>
      <c r="D743" s="7" t="s">
        <v>132</v>
      </c>
      <c r="E743" s="7" t="s">
        <v>4116</v>
      </c>
      <c r="F743" s="7" t="s">
        <v>4158</v>
      </c>
      <c r="G743" s="7" t="s">
        <v>5002</v>
      </c>
      <c r="J743" s="131">
        <v>12722</v>
      </c>
      <c r="K743" s="34">
        <f t="shared" si="16"/>
        <v>7582.3119999999999</v>
      </c>
      <c r="L743" t="s">
        <v>4139</v>
      </c>
    </row>
    <row r="744" spans="2:12" x14ac:dyDescent="0.25">
      <c r="B744" s="53" t="s">
        <v>4739</v>
      </c>
      <c r="C744" s="132" t="s">
        <v>4990</v>
      </c>
      <c r="D744" s="7" t="s">
        <v>133</v>
      </c>
      <c r="E744" s="7" t="s">
        <v>4116</v>
      </c>
      <c r="F744" s="7" t="s">
        <v>4154</v>
      </c>
      <c r="G744" s="7" t="s">
        <v>5002</v>
      </c>
      <c r="J744" s="131">
        <v>12722</v>
      </c>
      <c r="K744" s="34">
        <f t="shared" si="16"/>
        <v>7582.3119999999999</v>
      </c>
      <c r="L744" t="s">
        <v>4139</v>
      </c>
    </row>
    <row r="745" spans="2:12" x14ac:dyDescent="0.25">
      <c r="B745" s="53" t="s">
        <v>4740</v>
      </c>
      <c r="C745" s="132" t="s">
        <v>4990</v>
      </c>
      <c r="D745" s="7" t="s">
        <v>134</v>
      </c>
      <c r="E745" s="7" t="s">
        <v>4116</v>
      </c>
      <c r="F745" s="7" t="s">
        <v>4145</v>
      </c>
      <c r="G745" s="7" t="s">
        <v>5002</v>
      </c>
      <c r="J745" s="131">
        <v>13105</v>
      </c>
      <c r="K745" s="34">
        <f t="shared" si="16"/>
        <v>7810.58</v>
      </c>
      <c r="L745" t="s">
        <v>4139</v>
      </c>
    </row>
    <row r="746" spans="2:12" x14ac:dyDescent="0.25">
      <c r="B746" s="53" t="s">
        <v>4741</v>
      </c>
      <c r="C746" s="132" t="s">
        <v>4990</v>
      </c>
      <c r="D746" s="7" t="s">
        <v>135</v>
      </c>
      <c r="E746" s="7" t="s">
        <v>4116</v>
      </c>
      <c r="F746" s="7" t="s">
        <v>4159</v>
      </c>
      <c r="G746" s="7" t="s">
        <v>5002</v>
      </c>
      <c r="J746" s="131">
        <v>13105</v>
      </c>
      <c r="K746" s="34">
        <f t="shared" si="16"/>
        <v>7810.58</v>
      </c>
      <c r="L746" t="s">
        <v>4139</v>
      </c>
    </row>
    <row r="747" spans="2:12" x14ac:dyDescent="0.25">
      <c r="B747" s="53" t="s">
        <v>4742</v>
      </c>
      <c r="C747" s="132" t="s">
        <v>4990</v>
      </c>
      <c r="D747" s="7" t="s">
        <v>136</v>
      </c>
      <c r="E747" s="7" t="s">
        <v>4116</v>
      </c>
      <c r="F747" s="7" t="s">
        <v>4160</v>
      </c>
      <c r="G747" s="7" t="s">
        <v>5002</v>
      </c>
      <c r="J747" s="131">
        <v>13105</v>
      </c>
      <c r="K747" s="34">
        <f t="shared" si="16"/>
        <v>7810.58</v>
      </c>
      <c r="L747" t="s">
        <v>4139</v>
      </c>
    </row>
    <row r="748" spans="2:12" x14ac:dyDescent="0.25">
      <c r="B748" s="53" t="s">
        <v>4743</v>
      </c>
      <c r="C748" s="132" t="s">
        <v>4990</v>
      </c>
      <c r="D748" s="7" t="s">
        <v>137</v>
      </c>
      <c r="E748" s="7" t="s">
        <v>4116</v>
      </c>
      <c r="F748" s="7" t="s">
        <v>4161</v>
      </c>
      <c r="G748" s="7" t="s">
        <v>5002</v>
      </c>
      <c r="J748" s="131">
        <v>13105</v>
      </c>
      <c r="K748" s="34">
        <f t="shared" si="16"/>
        <v>7810.58</v>
      </c>
      <c r="L748" t="s">
        <v>4139</v>
      </c>
    </row>
    <row r="749" spans="2:12" x14ac:dyDescent="0.25">
      <c r="B749" s="53" t="s">
        <v>4744</v>
      </c>
      <c r="C749" s="132" t="s">
        <v>4990</v>
      </c>
      <c r="D749" s="7" t="s">
        <v>146</v>
      </c>
      <c r="E749" s="7" t="s">
        <v>4116</v>
      </c>
      <c r="F749" s="7" t="s">
        <v>4171</v>
      </c>
      <c r="G749" s="7" t="s">
        <v>5002</v>
      </c>
      <c r="J749" s="131">
        <v>15663</v>
      </c>
      <c r="K749" s="34">
        <f t="shared" si="16"/>
        <v>9335.1479999999992</v>
      </c>
      <c r="L749" t="s">
        <v>4139</v>
      </c>
    </row>
    <row r="750" spans="2:12" x14ac:dyDescent="0.25">
      <c r="B750" s="53" t="s">
        <v>4745</v>
      </c>
      <c r="C750" s="132" t="s">
        <v>4990</v>
      </c>
      <c r="D750" s="7" t="s">
        <v>156</v>
      </c>
      <c r="E750" s="7" t="s">
        <v>4116</v>
      </c>
      <c r="F750" s="7" t="s">
        <v>4172</v>
      </c>
      <c r="G750" s="7" t="s">
        <v>5002</v>
      </c>
      <c r="J750" s="131">
        <v>15663</v>
      </c>
      <c r="K750" s="34">
        <f t="shared" si="16"/>
        <v>9335.1479999999992</v>
      </c>
      <c r="L750" t="s">
        <v>4139</v>
      </c>
    </row>
    <row r="751" spans="2:12" x14ac:dyDescent="0.25">
      <c r="B751" s="53" t="s">
        <v>4746</v>
      </c>
      <c r="C751" s="132" t="s">
        <v>4990</v>
      </c>
      <c r="D751" s="7" t="s">
        <v>148</v>
      </c>
      <c r="E751" s="7" t="s">
        <v>4116</v>
      </c>
      <c r="F751" s="7" t="s">
        <v>4173</v>
      </c>
      <c r="G751" s="7" t="s">
        <v>5002</v>
      </c>
      <c r="J751" s="131">
        <v>15663</v>
      </c>
      <c r="K751" s="34">
        <f t="shared" si="16"/>
        <v>9335.1479999999992</v>
      </c>
      <c r="L751" t="s">
        <v>4139</v>
      </c>
    </row>
    <row r="752" spans="2:12" x14ac:dyDescent="0.25">
      <c r="B752" s="53" t="s">
        <v>4747</v>
      </c>
      <c r="C752" s="132" t="s">
        <v>4990</v>
      </c>
      <c r="D752" s="7" t="s">
        <v>149</v>
      </c>
      <c r="E752" s="7" t="s">
        <v>4116</v>
      </c>
      <c r="F752" s="7" t="s">
        <v>4174</v>
      </c>
      <c r="G752" s="7" t="s">
        <v>5002</v>
      </c>
      <c r="J752" s="131">
        <v>15663</v>
      </c>
      <c r="K752" s="34">
        <f t="shared" si="16"/>
        <v>9335.1479999999992</v>
      </c>
      <c r="L752" t="s">
        <v>4139</v>
      </c>
    </row>
    <row r="753" spans="2:12" x14ac:dyDescent="0.25">
      <c r="B753" s="53" t="s">
        <v>4748</v>
      </c>
      <c r="C753" s="132" t="s">
        <v>4990</v>
      </c>
      <c r="D753" s="7" t="s">
        <v>4118</v>
      </c>
      <c r="E753" s="7" t="s">
        <v>4116</v>
      </c>
      <c r="F753" s="7" t="s">
        <v>4162</v>
      </c>
      <c r="G753" s="7" t="s">
        <v>5002</v>
      </c>
      <c r="J753" s="131">
        <v>12722</v>
      </c>
      <c r="K753" s="34">
        <f t="shared" si="16"/>
        <v>7582.3119999999999</v>
      </c>
      <c r="L753" t="s">
        <v>4139</v>
      </c>
    </row>
    <row r="754" spans="2:12" x14ac:dyDescent="0.25">
      <c r="B754" s="53" t="s">
        <v>4749</v>
      </c>
      <c r="C754" s="132" t="s">
        <v>4990</v>
      </c>
      <c r="D754" s="7" t="s">
        <v>4119</v>
      </c>
      <c r="E754" s="7" t="s">
        <v>4116</v>
      </c>
      <c r="F754" s="7" t="s">
        <v>4163</v>
      </c>
      <c r="G754" s="7" t="s">
        <v>5002</v>
      </c>
      <c r="J754" s="131">
        <v>12722</v>
      </c>
      <c r="K754" s="34">
        <f t="shared" si="16"/>
        <v>7582.3119999999999</v>
      </c>
      <c r="L754" t="s">
        <v>4139</v>
      </c>
    </row>
    <row r="755" spans="2:12" x14ac:dyDescent="0.25">
      <c r="B755" s="53" t="s">
        <v>4750</v>
      </c>
      <c r="C755" s="132" t="s">
        <v>4990</v>
      </c>
      <c r="D755" s="7" t="s">
        <v>4120</v>
      </c>
      <c r="E755" s="7" t="s">
        <v>4116</v>
      </c>
      <c r="F755" s="7" t="s">
        <v>4155</v>
      </c>
      <c r="G755" s="7" t="s">
        <v>5002</v>
      </c>
      <c r="J755" s="131">
        <v>12722</v>
      </c>
      <c r="K755" s="34">
        <f t="shared" si="16"/>
        <v>7582.3119999999999</v>
      </c>
      <c r="L755" t="s">
        <v>4139</v>
      </c>
    </row>
    <row r="756" spans="2:12" x14ac:dyDescent="0.25">
      <c r="B756" s="53" t="s">
        <v>4751</v>
      </c>
      <c r="C756" s="132" t="s">
        <v>4990</v>
      </c>
      <c r="D756" s="7" t="s">
        <v>4121</v>
      </c>
      <c r="E756" s="7" t="s">
        <v>4116</v>
      </c>
      <c r="F756" s="7" t="s">
        <v>4146</v>
      </c>
      <c r="G756" s="7" t="s">
        <v>5002</v>
      </c>
      <c r="J756" s="131">
        <v>13105</v>
      </c>
      <c r="K756" s="34">
        <f t="shared" si="16"/>
        <v>7810.58</v>
      </c>
      <c r="L756" t="s">
        <v>4139</v>
      </c>
    </row>
    <row r="757" spans="2:12" x14ac:dyDescent="0.25">
      <c r="B757" s="53" t="s">
        <v>4752</v>
      </c>
      <c r="C757" s="132" t="s">
        <v>4990</v>
      </c>
      <c r="D757" s="7" t="s">
        <v>4122</v>
      </c>
      <c r="E757" s="7" t="s">
        <v>4116</v>
      </c>
      <c r="F757" s="7" t="s">
        <v>4164</v>
      </c>
      <c r="G757" s="7" t="s">
        <v>5002</v>
      </c>
      <c r="J757" s="131">
        <v>13105</v>
      </c>
      <c r="K757" s="34">
        <f t="shared" si="16"/>
        <v>7810.58</v>
      </c>
      <c r="L757" t="s">
        <v>4139</v>
      </c>
    </row>
    <row r="758" spans="2:12" x14ac:dyDescent="0.25">
      <c r="B758" s="53" t="s">
        <v>4753</v>
      </c>
      <c r="C758" s="132" t="s">
        <v>4990</v>
      </c>
      <c r="D758" s="7" t="s">
        <v>4123</v>
      </c>
      <c r="E758" s="7" t="s">
        <v>4116</v>
      </c>
      <c r="F758" s="7" t="s">
        <v>4165</v>
      </c>
      <c r="G758" s="7" t="s">
        <v>5002</v>
      </c>
      <c r="J758" s="131">
        <v>13105</v>
      </c>
      <c r="K758" s="34">
        <f t="shared" si="16"/>
        <v>7810.58</v>
      </c>
      <c r="L758" t="s">
        <v>4139</v>
      </c>
    </row>
    <row r="759" spans="2:12" x14ac:dyDescent="0.25">
      <c r="B759" s="53" t="s">
        <v>4754</v>
      </c>
      <c r="C759" s="132" t="s">
        <v>4990</v>
      </c>
      <c r="D759" s="7" t="s">
        <v>4124</v>
      </c>
      <c r="E759" s="7" t="s">
        <v>4116</v>
      </c>
      <c r="F759" s="7" t="s">
        <v>4166</v>
      </c>
      <c r="G759" s="7" t="s">
        <v>5002</v>
      </c>
      <c r="J759" s="131">
        <v>13105</v>
      </c>
      <c r="K759" s="34">
        <f t="shared" si="16"/>
        <v>7810.58</v>
      </c>
      <c r="L759" t="s">
        <v>4139</v>
      </c>
    </row>
    <row r="760" spans="2:12" x14ac:dyDescent="0.25">
      <c r="B760" s="53" t="s">
        <v>4755</v>
      </c>
      <c r="C760" s="132" t="s">
        <v>4990</v>
      </c>
      <c r="D760" s="7" t="s">
        <v>4125</v>
      </c>
      <c r="E760" s="7" t="s">
        <v>4116</v>
      </c>
      <c r="F760" s="7" t="s">
        <v>4175</v>
      </c>
      <c r="G760" s="7" t="s">
        <v>5002</v>
      </c>
      <c r="J760" s="131">
        <v>15663</v>
      </c>
      <c r="K760" s="34">
        <f t="shared" si="16"/>
        <v>9335.1479999999992</v>
      </c>
      <c r="L760" t="s">
        <v>4139</v>
      </c>
    </row>
    <row r="761" spans="2:12" x14ac:dyDescent="0.25">
      <c r="B761" s="53" t="s">
        <v>4756</v>
      </c>
      <c r="C761" s="132" t="s">
        <v>4990</v>
      </c>
      <c r="D761" s="7" t="s">
        <v>4126</v>
      </c>
      <c r="E761" s="7" t="s">
        <v>4116</v>
      </c>
      <c r="F761" s="7" t="s">
        <v>4176</v>
      </c>
      <c r="G761" s="7" t="s">
        <v>5002</v>
      </c>
      <c r="J761" s="131">
        <v>15663</v>
      </c>
      <c r="K761" s="34">
        <f t="shared" si="16"/>
        <v>9335.1479999999992</v>
      </c>
      <c r="L761" t="s">
        <v>4139</v>
      </c>
    </row>
    <row r="762" spans="2:12" x14ac:dyDescent="0.25">
      <c r="B762" s="53" t="s">
        <v>4757</v>
      </c>
      <c r="C762" s="132" t="s">
        <v>4990</v>
      </c>
      <c r="D762" s="7" t="s">
        <v>4127</v>
      </c>
      <c r="E762" s="7" t="s">
        <v>4116</v>
      </c>
      <c r="F762" s="7" t="s">
        <v>4177</v>
      </c>
      <c r="G762" s="7" t="s">
        <v>5002</v>
      </c>
      <c r="J762" s="131">
        <v>15663</v>
      </c>
      <c r="K762" s="34">
        <f t="shared" si="16"/>
        <v>9335.1479999999992</v>
      </c>
      <c r="L762" t="s">
        <v>4139</v>
      </c>
    </row>
    <row r="763" spans="2:12" x14ac:dyDescent="0.25">
      <c r="B763" s="53" t="s">
        <v>4758</v>
      </c>
      <c r="C763" s="132" t="s">
        <v>4990</v>
      </c>
      <c r="D763" s="7" t="s">
        <v>674</v>
      </c>
      <c r="E763" s="7" t="s">
        <v>4116</v>
      </c>
      <c r="F763" s="7" t="s">
        <v>4178</v>
      </c>
      <c r="G763" s="7" t="s">
        <v>5002</v>
      </c>
      <c r="J763" s="131">
        <v>15663</v>
      </c>
      <c r="K763" s="34">
        <f t="shared" si="16"/>
        <v>9335.1479999999992</v>
      </c>
      <c r="L763" t="s">
        <v>4139</v>
      </c>
    </row>
    <row r="764" spans="2:12" x14ac:dyDescent="0.25">
      <c r="B764" s="53" t="s">
        <v>4759</v>
      </c>
      <c r="C764" s="132" t="s">
        <v>4990</v>
      </c>
      <c r="D764" s="7" t="s">
        <v>4128</v>
      </c>
      <c r="E764" s="7" t="s">
        <v>4116</v>
      </c>
      <c r="F764" s="7" t="s">
        <v>4167</v>
      </c>
      <c r="G764" s="7" t="s">
        <v>5002</v>
      </c>
      <c r="J764" s="131">
        <v>12722</v>
      </c>
      <c r="K764" s="34">
        <f t="shared" si="16"/>
        <v>7582.3119999999999</v>
      </c>
      <c r="L764" t="s">
        <v>4139</v>
      </c>
    </row>
    <row r="765" spans="2:12" x14ac:dyDescent="0.25">
      <c r="B765" s="53" t="s">
        <v>4760</v>
      </c>
      <c r="C765" s="132" t="s">
        <v>4990</v>
      </c>
      <c r="D765" s="7" t="s">
        <v>4129</v>
      </c>
      <c r="E765" s="7" t="s">
        <v>4116</v>
      </c>
      <c r="F765" s="7" t="s">
        <v>4168</v>
      </c>
      <c r="G765" s="7" t="s">
        <v>5002</v>
      </c>
      <c r="J765" s="131">
        <v>12722</v>
      </c>
      <c r="K765" s="34">
        <f t="shared" si="16"/>
        <v>7582.3119999999999</v>
      </c>
      <c r="L765" t="s">
        <v>4139</v>
      </c>
    </row>
    <row r="766" spans="2:12" x14ac:dyDescent="0.25">
      <c r="B766" s="53" t="s">
        <v>4761</v>
      </c>
      <c r="C766" s="132" t="s">
        <v>4990</v>
      </c>
      <c r="D766" s="7" t="s">
        <v>4130</v>
      </c>
      <c r="E766" s="7" t="s">
        <v>4116</v>
      </c>
      <c r="F766" s="7" t="s">
        <v>4156</v>
      </c>
      <c r="G766" s="7" t="s">
        <v>5002</v>
      </c>
      <c r="J766" s="131">
        <v>12722</v>
      </c>
      <c r="K766" s="34">
        <f t="shared" si="16"/>
        <v>7582.3119999999999</v>
      </c>
      <c r="L766" t="s">
        <v>4139</v>
      </c>
    </row>
    <row r="767" spans="2:12" x14ac:dyDescent="0.25">
      <c r="B767" s="53" t="s">
        <v>4762</v>
      </c>
      <c r="C767" s="132" t="s">
        <v>4990</v>
      </c>
      <c r="D767" s="7" t="s">
        <v>4131</v>
      </c>
      <c r="E767" s="7" t="s">
        <v>4116</v>
      </c>
      <c r="F767" s="7" t="s">
        <v>4147</v>
      </c>
      <c r="G767" s="7" t="s">
        <v>5002</v>
      </c>
      <c r="J767" s="131">
        <v>13105</v>
      </c>
      <c r="K767" s="34">
        <f t="shared" ref="K767:K830" si="17">J767*0.596</f>
        <v>7810.58</v>
      </c>
      <c r="L767" t="s">
        <v>4139</v>
      </c>
    </row>
    <row r="768" spans="2:12" x14ac:dyDescent="0.25">
      <c r="B768" s="53" t="s">
        <v>4763</v>
      </c>
      <c r="C768" s="132" t="s">
        <v>4990</v>
      </c>
      <c r="D768" s="7" t="s">
        <v>4132</v>
      </c>
      <c r="E768" s="7" t="s">
        <v>4116</v>
      </c>
      <c r="F768" s="7" t="s">
        <v>4169</v>
      </c>
      <c r="G768" s="7" t="s">
        <v>5002</v>
      </c>
      <c r="J768" s="131">
        <v>13105</v>
      </c>
      <c r="K768" s="34">
        <f t="shared" si="17"/>
        <v>7810.58</v>
      </c>
      <c r="L768" t="s">
        <v>4139</v>
      </c>
    </row>
    <row r="769" spans="2:12" x14ac:dyDescent="0.25">
      <c r="B769" s="53" t="s">
        <v>4764</v>
      </c>
      <c r="C769" s="132" t="s">
        <v>4990</v>
      </c>
      <c r="D769" s="7" t="s">
        <v>4133</v>
      </c>
      <c r="E769" s="7" t="s">
        <v>4116</v>
      </c>
      <c r="F769" s="7" t="s">
        <v>4179</v>
      </c>
      <c r="G769" s="7" t="s">
        <v>5002</v>
      </c>
      <c r="J769" s="131">
        <v>13105</v>
      </c>
      <c r="K769" s="34">
        <f t="shared" si="17"/>
        <v>7810.58</v>
      </c>
      <c r="L769" t="s">
        <v>4139</v>
      </c>
    </row>
    <row r="770" spans="2:12" x14ac:dyDescent="0.25">
      <c r="B770" s="53" t="s">
        <v>4765</v>
      </c>
      <c r="C770" s="132" t="s">
        <v>4990</v>
      </c>
      <c r="D770" s="7" t="s">
        <v>4134</v>
      </c>
      <c r="E770" s="7" t="s">
        <v>4116</v>
      </c>
      <c r="F770" s="7" t="s">
        <v>4180</v>
      </c>
      <c r="G770" s="7" t="s">
        <v>5002</v>
      </c>
      <c r="J770" s="131">
        <v>13105</v>
      </c>
      <c r="K770" s="34">
        <f t="shared" si="17"/>
        <v>7810.58</v>
      </c>
      <c r="L770" t="s">
        <v>4139</v>
      </c>
    </row>
    <row r="771" spans="2:12" x14ac:dyDescent="0.25">
      <c r="B771" s="53" t="s">
        <v>4766</v>
      </c>
      <c r="C771" s="132" t="s">
        <v>4990</v>
      </c>
      <c r="D771" s="7" t="s">
        <v>4135</v>
      </c>
      <c r="E771" s="7" t="s">
        <v>4116</v>
      </c>
      <c r="F771" s="7" t="s">
        <v>4181</v>
      </c>
      <c r="G771" s="7" t="s">
        <v>5002</v>
      </c>
      <c r="J771" s="131">
        <v>15663</v>
      </c>
      <c r="K771" s="34">
        <f t="shared" si="17"/>
        <v>9335.1479999999992</v>
      </c>
      <c r="L771" t="s">
        <v>4139</v>
      </c>
    </row>
    <row r="772" spans="2:12" x14ac:dyDescent="0.25">
      <c r="B772" s="53" t="s">
        <v>4767</v>
      </c>
      <c r="C772" s="132" t="s">
        <v>4990</v>
      </c>
      <c r="D772" s="7" t="s">
        <v>4136</v>
      </c>
      <c r="E772" s="7" t="s">
        <v>4116</v>
      </c>
      <c r="F772" s="7" t="s">
        <v>4182</v>
      </c>
      <c r="G772" s="7" t="s">
        <v>5002</v>
      </c>
      <c r="J772" s="131">
        <v>15663</v>
      </c>
      <c r="K772" s="34">
        <f t="shared" si="17"/>
        <v>9335.1479999999992</v>
      </c>
      <c r="L772" t="s">
        <v>4139</v>
      </c>
    </row>
    <row r="773" spans="2:12" x14ac:dyDescent="0.25">
      <c r="B773" s="53" t="s">
        <v>4768</v>
      </c>
      <c r="C773" s="132" t="s">
        <v>4990</v>
      </c>
      <c r="D773" s="7" t="s">
        <v>4137</v>
      </c>
      <c r="E773" s="7" t="s">
        <v>4116</v>
      </c>
      <c r="F773" s="7" t="s">
        <v>4183</v>
      </c>
      <c r="G773" s="7" t="s">
        <v>5002</v>
      </c>
      <c r="J773" s="131">
        <v>15663</v>
      </c>
      <c r="K773" s="34">
        <f t="shared" si="17"/>
        <v>9335.1479999999992</v>
      </c>
      <c r="L773" t="s">
        <v>4139</v>
      </c>
    </row>
    <row r="774" spans="2:12" x14ac:dyDescent="0.25">
      <c r="B774" s="53" t="s">
        <v>4769</v>
      </c>
      <c r="C774" s="132" t="s">
        <v>4990</v>
      </c>
      <c r="D774" s="7" t="s">
        <v>687</v>
      </c>
      <c r="E774" s="7" t="s">
        <v>4116</v>
      </c>
      <c r="F774" s="7" t="s">
        <v>4184</v>
      </c>
      <c r="G774" s="7" t="s">
        <v>5002</v>
      </c>
      <c r="J774" s="131">
        <v>15663</v>
      </c>
      <c r="K774" s="34">
        <f t="shared" si="17"/>
        <v>9335.1479999999992</v>
      </c>
      <c r="L774" t="s">
        <v>4139</v>
      </c>
    </row>
    <row r="775" spans="2:12" x14ac:dyDescent="0.25">
      <c r="B775" s="53" t="s">
        <v>4770</v>
      </c>
      <c r="C775" s="132" t="s">
        <v>4991</v>
      </c>
      <c r="D775" s="7" t="s">
        <v>124</v>
      </c>
      <c r="E775" s="7" t="s">
        <v>4116</v>
      </c>
      <c r="F775" s="7" t="s">
        <v>4143</v>
      </c>
      <c r="G775" s="7" t="s">
        <v>5002</v>
      </c>
      <c r="J775" s="131">
        <v>12722</v>
      </c>
      <c r="K775" s="34">
        <f t="shared" si="17"/>
        <v>7582.3119999999999</v>
      </c>
      <c r="L775" t="s">
        <v>4139</v>
      </c>
    </row>
    <row r="776" spans="2:12" x14ac:dyDescent="0.25">
      <c r="B776" s="53" t="s">
        <v>4771</v>
      </c>
      <c r="C776" s="132" t="s">
        <v>4991</v>
      </c>
      <c r="D776" s="7" t="s">
        <v>125</v>
      </c>
      <c r="E776" s="7" t="s">
        <v>4116</v>
      </c>
      <c r="F776" s="7" t="s">
        <v>4142</v>
      </c>
      <c r="G776" s="7" t="s">
        <v>5002</v>
      </c>
      <c r="J776" s="131">
        <v>12722</v>
      </c>
      <c r="K776" s="34">
        <f t="shared" si="17"/>
        <v>7582.3119999999999</v>
      </c>
      <c r="L776" t="s">
        <v>4139</v>
      </c>
    </row>
    <row r="777" spans="2:12" x14ac:dyDescent="0.25">
      <c r="B777" s="53" t="s">
        <v>4772</v>
      </c>
      <c r="C777" s="132" t="s">
        <v>4991</v>
      </c>
      <c r="D777" s="7" t="s">
        <v>126</v>
      </c>
      <c r="E777" s="7" t="s">
        <v>4116</v>
      </c>
      <c r="F777" s="7" t="s">
        <v>4141</v>
      </c>
      <c r="G777" s="7" t="s">
        <v>5002</v>
      </c>
      <c r="J777" s="131">
        <v>12722</v>
      </c>
      <c r="K777" s="34">
        <f t="shared" si="17"/>
        <v>7582.3119999999999</v>
      </c>
      <c r="L777" t="s">
        <v>4139</v>
      </c>
    </row>
    <row r="778" spans="2:12" x14ac:dyDescent="0.25">
      <c r="B778" s="53" t="s">
        <v>4773</v>
      </c>
      <c r="C778" s="132" t="s">
        <v>4991</v>
      </c>
      <c r="D778" s="7" t="s">
        <v>127</v>
      </c>
      <c r="E778" s="7" t="s">
        <v>4116</v>
      </c>
      <c r="F778" s="7" t="s">
        <v>4144</v>
      </c>
      <c r="G778" s="7" t="s">
        <v>5002</v>
      </c>
      <c r="J778" s="131">
        <v>13105</v>
      </c>
      <c r="K778" s="34">
        <f t="shared" si="17"/>
        <v>7810.58</v>
      </c>
      <c r="L778" t="s">
        <v>4139</v>
      </c>
    </row>
    <row r="779" spans="2:12" x14ac:dyDescent="0.25">
      <c r="B779" s="53" t="s">
        <v>4774</v>
      </c>
      <c r="C779" s="132" t="s">
        <v>4991</v>
      </c>
      <c r="D779" s="7" t="s">
        <v>128</v>
      </c>
      <c r="E779" s="7" t="s">
        <v>4116</v>
      </c>
      <c r="F779" s="7" t="s">
        <v>4148</v>
      </c>
      <c r="G779" s="7" t="s">
        <v>5002</v>
      </c>
      <c r="J779" s="131">
        <v>13105</v>
      </c>
      <c r="K779" s="34">
        <f t="shared" si="17"/>
        <v>7810.58</v>
      </c>
      <c r="L779" t="s">
        <v>4139</v>
      </c>
    </row>
    <row r="780" spans="2:12" x14ac:dyDescent="0.25">
      <c r="B780" s="53" t="s">
        <v>4775</v>
      </c>
      <c r="C780" s="132" t="s">
        <v>4991</v>
      </c>
      <c r="D780" s="7" t="s">
        <v>129</v>
      </c>
      <c r="E780" s="7" t="s">
        <v>4116</v>
      </c>
      <c r="F780" s="7" t="s">
        <v>4150</v>
      </c>
      <c r="G780" s="7" t="s">
        <v>5002</v>
      </c>
      <c r="J780" s="131">
        <v>13105</v>
      </c>
      <c r="K780" s="34">
        <f t="shared" si="17"/>
        <v>7810.58</v>
      </c>
      <c r="L780" t="s">
        <v>4139</v>
      </c>
    </row>
    <row r="781" spans="2:12" x14ac:dyDescent="0.25">
      <c r="B781" s="53" t="s">
        <v>4776</v>
      </c>
      <c r="C781" s="132" t="s">
        <v>4991</v>
      </c>
      <c r="D781" s="7" t="s">
        <v>130</v>
      </c>
      <c r="E781" s="7" t="s">
        <v>4116</v>
      </c>
      <c r="F781" s="7" t="s">
        <v>4149</v>
      </c>
      <c r="G781" s="7" t="s">
        <v>5002</v>
      </c>
      <c r="J781" s="131">
        <v>13105</v>
      </c>
      <c r="K781" s="34">
        <f t="shared" si="17"/>
        <v>7810.58</v>
      </c>
      <c r="L781" t="s">
        <v>4139</v>
      </c>
    </row>
    <row r="782" spans="2:12" x14ac:dyDescent="0.25">
      <c r="B782" s="53" t="s">
        <v>4777</v>
      </c>
      <c r="C782" s="132" t="s">
        <v>4991</v>
      </c>
      <c r="D782" s="7" t="s">
        <v>142</v>
      </c>
      <c r="E782" s="7" t="s">
        <v>4116</v>
      </c>
      <c r="F782" s="7" t="s">
        <v>4151</v>
      </c>
      <c r="G782" s="7" t="s">
        <v>5002</v>
      </c>
      <c r="J782" s="131">
        <v>15663</v>
      </c>
      <c r="K782" s="34">
        <f t="shared" si="17"/>
        <v>9335.1479999999992</v>
      </c>
      <c r="L782" t="s">
        <v>4139</v>
      </c>
    </row>
    <row r="783" spans="2:12" x14ac:dyDescent="0.25">
      <c r="B783" s="53" t="s">
        <v>4778</v>
      </c>
      <c r="C783" s="132" t="s">
        <v>4991</v>
      </c>
      <c r="D783" s="7" t="s">
        <v>143</v>
      </c>
      <c r="E783" s="7" t="s">
        <v>4116</v>
      </c>
      <c r="F783" s="7" t="s">
        <v>4152</v>
      </c>
      <c r="G783" s="7" t="s">
        <v>5002</v>
      </c>
      <c r="J783" s="131">
        <v>15663</v>
      </c>
      <c r="K783" s="34">
        <f t="shared" si="17"/>
        <v>9335.1479999999992</v>
      </c>
      <c r="L783" t="s">
        <v>4139</v>
      </c>
    </row>
    <row r="784" spans="2:12" x14ac:dyDescent="0.25">
      <c r="B784" s="53" t="s">
        <v>4779</v>
      </c>
      <c r="C784" s="132" t="s">
        <v>4991</v>
      </c>
      <c r="D784" s="7" t="s">
        <v>144</v>
      </c>
      <c r="E784" s="7" t="s">
        <v>4116</v>
      </c>
      <c r="F784" s="7" t="s">
        <v>4153</v>
      </c>
      <c r="G784" s="7" t="s">
        <v>5002</v>
      </c>
      <c r="J784" s="131">
        <v>15663</v>
      </c>
      <c r="K784" s="34">
        <f t="shared" si="17"/>
        <v>9335.1479999999992</v>
      </c>
      <c r="L784" t="s">
        <v>4139</v>
      </c>
    </row>
    <row r="785" spans="2:12" x14ac:dyDescent="0.25">
      <c r="B785" s="53" t="s">
        <v>4780</v>
      </c>
      <c r="C785" s="132" t="s">
        <v>4991</v>
      </c>
      <c r="D785" s="7" t="s">
        <v>145</v>
      </c>
      <c r="E785" s="7" t="s">
        <v>4116</v>
      </c>
      <c r="F785" s="7" t="s">
        <v>4170</v>
      </c>
      <c r="G785" s="7" t="s">
        <v>5002</v>
      </c>
      <c r="J785" s="131">
        <v>15663</v>
      </c>
      <c r="K785" s="34">
        <f t="shared" si="17"/>
        <v>9335.1479999999992</v>
      </c>
      <c r="L785" t="s">
        <v>4139</v>
      </c>
    </row>
    <row r="786" spans="2:12" x14ac:dyDescent="0.25">
      <c r="B786" s="53" t="s">
        <v>4781</v>
      </c>
      <c r="C786" s="132" t="s">
        <v>4991</v>
      </c>
      <c r="D786" s="7" t="s">
        <v>131</v>
      </c>
      <c r="E786" s="7" t="s">
        <v>4116</v>
      </c>
      <c r="F786" s="7" t="s">
        <v>4157</v>
      </c>
      <c r="G786" s="7" t="s">
        <v>5002</v>
      </c>
      <c r="J786" s="131">
        <v>12722</v>
      </c>
      <c r="K786" s="34">
        <f t="shared" si="17"/>
        <v>7582.3119999999999</v>
      </c>
      <c r="L786" t="s">
        <v>4139</v>
      </c>
    </row>
    <row r="787" spans="2:12" x14ac:dyDescent="0.25">
      <c r="B787" s="53" t="s">
        <v>4782</v>
      </c>
      <c r="C787" s="132" t="s">
        <v>4991</v>
      </c>
      <c r="D787" s="7" t="s">
        <v>132</v>
      </c>
      <c r="E787" s="7" t="s">
        <v>4116</v>
      </c>
      <c r="F787" s="7" t="s">
        <v>4158</v>
      </c>
      <c r="G787" s="7" t="s">
        <v>5002</v>
      </c>
      <c r="J787" s="131">
        <v>12722</v>
      </c>
      <c r="K787" s="34">
        <f t="shared" si="17"/>
        <v>7582.3119999999999</v>
      </c>
      <c r="L787" t="s">
        <v>4139</v>
      </c>
    </row>
    <row r="788" spans="2:12" x14ac:dyDescent="0.25">
      <c r="B788" s="53" t="s">
        <v>4783</v>
      </c>
      <c r="C788" s="132" t="s">
        <v>4991</v>
      </c>
      <c r="D788" s="7" t="s">
        <v>133</v>
      </c>
      <c r="E788" s="7" t="s">
        <v>4116</v>
      </c>
      <c r="F788" s="7" t="s">
        <v>4154</v>
      </c>
      <c r="G788" s="7" t="s">
        <v>5002</v>
      </c>
      <c r="J788" s="131">
        <v>12722</v>
      </c>
      <c r="K788" s="34">
        <f t="shared" si="17"/>
        <v>7582.3119999999999</v>
      </c>
      <c r="L788" t="s">
        <v>4139</v>
      </c>
    </row>
    <row r="789" spans="2:12" x14ac:dyDescent="0.25">
      <c r="B789" s="53" t="s">
        <v>4784</v>
      </c>
      <c r="C789" s="132" t="s">
        <v>4991</v>
      </c>
      <c r="D789" s="7" t="s">
        <v>134</v>
      </c>
      <c r="E789" s="7" t="s">
        <v>4116</v>
      </c>
      <c r="F789" s="7" t="s">
        <v>4145</v>
      </c>
      <c r="G789" s="7" t="s">
        <v>5002</v>
      </c>
      <c r="J789" s="131">
        <v>13105</v>
      </c>
      <c r="K789" s="34">
        <f t="shared" si="17"/>
        <v>7810.58</v>
      </c>
      <c r="L789" t="s">
        <v>4139</v>
      </c>
    </row>
    <row r="790" spans="2:12" x14ac:dyDescent="0.25">
      <c r="B790" s="53" t="s">
        <v>4785</v>
      </c>
      <c r="C790" s="132" t="s">
        <v>4991</v>
      </c>
      <c r="D790" s="7" t="s">
        <v>135</v>
      </c>
      <c r="E790" s="7" t="s">
        <v>4116</v>
      </c>
      <c r="F790" s="7" t="s">
        <v>4159</v>
      </c>
      <c r="G790" s="7" t="s">
        <v>5002</v>
      </c>
      <c r="J790" s="131">
        <v>13105</v>
      </c>
      <c r="K790" s="34">
        <f t="shared" si="17"/>
        <v>7810.58</v>
      </c>
      <c r="L790" t="s">
        <v>4139</v>
      </c>
    </row>
    <row r="791" spans="2:12" x14ac:dyDescent="0.25">
      <c r="B791" s="53" t="s">
        <v>4786</v>
      </c>
      <c r="C791" s="132" t="s">
        <v>4991</v>
      </c>
      <c r="D791" s="7" t="s">
        <v>136</v>
      </c>
      <c r="E791" s="7" t="s">
        <v>4116</v>
      </c>
      <c r="F791" s="7" t="s">
        <v>4160</v>
      </c>
      <c r="G791" s="7" t="s">
        <v>5002</v>
      </c>
      <c r="J791" s="131">
        <v>13105</v>
      </c>
      <c r="K791" s="34">
        <f t="shared" si="17"/>
        <v>7810.58</v>
      </c>
      <c r="L791" t="s">
        <v>4139</v>
      </c>
    </row>
    <row r="792" spans="2:12" x14ac:dyDescent="0.25">
      <c r="B792" s="53" t="s">
        <v>4787</v>
      </c>
      <c r="C792" s="132" t="s">
        <v>4991</v>
      </c>
      <c r="D792" s="7" t="s">
        <v>137</v>
      </c>
      <c r="E792" s="7" t="s">
        <v>4116</v>
      </c>
      <c r="F792" s="7" t="s">
        <v>4161</v>
      </c>
      <c r="G792" s="7" t="s">
        <v>5002</v>
      </c>
      <c r="J792" s="131">
        <v>13105</v>
      </c>
      <c r="K792" s="34">
        <f t="shared" si="17"/>
        <v>7810.58</v>
      </c>
      <c r="L792" t="s">
        <v>4139</v>
      </c>
    </row>
    <row r="793" spans="2:12" x14ac:dyDescent="0.25">
      <c r="B793" s="53" t="s">
        <v>4788</v>
      </c>
      <c r="C793" s="132" t="s">
        <v>4991</v>
      </c>
      <c r="D793" s="7" t="s">
        <v>146</v>
      </c>
      <c r="E793" s="7" t="s">
        <v>4116</v>
      </c>
      <c r="F793" s="7" t="s">
        <v>4171</v>
      </c>
      <c r="G793" s="7" t="s">
        <v>5002</v>
      </c>
      <c r="J793" s="131">
        <v>15663</v>
      </c>
      <c r="K793" s="34">
        <f t="shared" si="17"/>
        <v>9335.1479999999992</v>
      </c>
      <c r="L793" t="s">
        <v>4139</v>
      </c>
    </row>
    <row r="794" spans="2:12" x14ac:dyDescent="0.25">
      <c r="B794" s="53" t="s">
        <v>4789</v>
      </c>
      <c r="C794" s="132" t="s">
        <v>4991</v>
      </c>
      <c r="D794" s="7" t="s">
        <v>156</v>
      </c>
      <c r="E794" s="7" t="s">
        <v>4116</v>
      </c>
      <c r="F794" s="7" t="s">
        <v>4172</v>
      </c>
      <c r="G794" s="7" t="s">
        <v>5002</v>
      </c>
      <c r="J794" s="131">
        <v>15663</v>
      </c>
      <c r="K794" s="34">
        <f t="shared" si="17"/>
        <v>9335.1479999999992</v>
      </c>
      <c r="L794" t="s">
        <v>4139</v>
      </c>
    </row>
    <row r="795" spans="2:12" x14ac:dyDescent="0.25">
      <c r="B795" s="53" t="s">
        <v>4790</v>
      </c>
      <c r="C795" s="132" t="s">
        <v>4991</v>
      </c>
      <c r="D795" s="7" t="s">
        <v>148</v>
      </c>
      <c r="E795" s="7" t="s">
        <v>4116</v>
      </c>
      <c r="F795" s="7" t="s">
        <v>4173</v>
      </c>
      <c r="G795" s="7" t="s">
        <v>5002</v>
      </c>
      <c r="J795" s="131">
        <v>15663</v>
      </c>
      <c r="K795" s="34">
        <f t="shared" si="17"/>
        <v>9335.1479999999992</v>
      </c>
      <c r="L795" t="s">
        <v>4139</v>
      </c>
    </row>
    <row r="796" spans="2:12" x14ac:dyDescent="0.25">
      <c r="B796" s="53" t="s">
        <v>4791</v>
      </c>
      <c r="C796" s="132" t="s">
        <v>4991</v>
      </c>
      <c r="D796" s="7" t="s">
        <v>149</v>
      </c>
      <c r="E796" s="7" t="s">
        <v>4116</v>
      </c>
      <c r="F796" s="7" t="s">
        <v>4174</v>
      </c>
      <c r="G796" s="7" t="s">
        <v>5002</v>
      </c>
      <c r="J796" s="131">
        <v>15663</v>
      </c>
      <c r="K796" s="34">
        <f t="shared" si="17"/>
        <v>9335.1479999999992</v>
      </c>
      <c r="L796" t="s">
        <v>4139</v>
      </c>
    </row>
    <row r="797" spans="2:12" x14ac:dyDescent="0.25">
      <c r="B797" s="53" t="s">
        <v>4792</v>
      </c>
      <c r="C797" s="132" t="s">
        <v>4991</v>
      </c>
      <c r="D797" s="7" t="s">
        <v>4118</v>
      </c>
      <c r="E797" s="7" t="s">
        <v>4116</v>
      </c>
      <c r="F797" s="7" t="s">
        <v>4162</v>
      </c>
      <c r="G797" s="7" t="s">
        <v>5002</v>
      </c>
      <c r="J797" s="131">
        <v>12722</v>
      </c>
      <c r="K797" s="34">
        <f t="shared" si="17"/>
        <v>7582.3119999999999</v>
      </c>
      <c r="L797" t="s">
        <v>4139</v>
      </c>
    </row>
    <row r="798" spans="2:12" x14ac:dyDescent="0.25">
      <c r="B798" s="53" t="s">
        <v>4793</v>
      </c>
      <c r="C798" s="132" t="s">
        <v>4991</v>
      </c>
      <c r="D798" s="7" t="s">
        <v>4119</v>
      </c>
      <c r="E798" s="7" t="s">
        <v>4116</v>
      </c>
      <c r="F798" s="7" t="s">
        <v>4163</v>
      </c>
      <c r="G798" s="7" t="s">
        <v>5002</v>
      </c>
      <c r="J798" s="131">
        <v>12722</v>
      </c>
      <c r="K798" s="34">
        <f t="shared" si="17"/>
        <v>7582.3119999999999</v>
      </c>
      <c r="L798" t="s">
        <v>4139</v>
      </c>
    </row>
    <row r="799" spans="2:12" x14ac:dyDescent="0.25">
      <c r="B799" s="53" t="s">
        <v>4794</v>
      </c>
      <c r="C799" s="132" t="s">
        <v>4991</v>
      </c>
      <c r="D799" s="7" t="s">
        <v>4120</v>
      </c>
      <c r="E799" s="7" t="s">
        <v>4116</v>
      </c>
      <c r="F799" s="7" t="s">
        <v>4155</v>
      </c>
      <c r="G799" s="7" t="s">
        <v>5002</v>
      </c>
      <c r="J799" s="131">
        <v>12722</v>
      </c>
      <c r="K799" s="34">
        <f t="shared" si="17"/>
        <v>7582.3119999999999</v>
      </c>
      <c r="L799" t="s">
        <v>4139</v>
      </c>
    </row>
    <row r="800" spans="2:12" x14ac:dyDescent="0.25">
      <c r="B800" s="53" t="s">
        <v>4795</v>
      </c>
      <c r="C800" s="132" t="s">
        <v>4991</v>
      </c>
      <c r="D800" s="7" t="s">
        <v>4121</v>
      </c>
      <c r="E800" s="7" t="s">
        <v>4116</v>
      </c>
      <c r="F800" s="7" t="s">
        <v>4146</v>
      </c>
      <c r="G800" s="7" t="s">
        <v>5002</v>
      </c>
      <c r="J800" s="131">
        <v>13105</v>
      </c>
      <c r="K800" s="34">
        <f t="shared" si="17"/>
        <v>7810.58</v>
      </c>
      <c r="L800" t="s">
        <v>4139</v>
      </c>
    </row>
    <row r="801" spans="2:12" x14ac:dyDescent="0.25">
      <c r="B801" s="53" t="s">
        <v>4796</v>
      </c>
      <c r="C801" s="132" t="s">
        <v>4991</v>
      </c>
      <c r="D801" s="7" t="s">
        <v>4122</v>
      </c>
      <c r="E801" s="7" t="s">
        <v>4116</v>
      </c>
      <c r="F801" s="7" t="s">
        <v>4164</v>
      </c>
      <c r="G801" s="7" t="s">
        <v>5002</v>
      </c>
      <c r="J801" s="131">
        <v>13105</v>
      </c>
      <c r="K801" s="34">
        <f t="shared" si="17"/>
        <v>7810.58</v>
      </c>
      <c r="L801" t="s">
        <v>4139</v>
      </c>
    </row>
    <row r="802" spans="2:12" x14ac:dyDescent="0.25">
      <c r="B802" s="53" t="s">
        <v>4797</v>
      </c>
      <c r="C802" s="132" t="s">
        <v>4991</v>
      </c>
      <c r="D802" s="7" t="s">
        <v>4123</v>
      </c>
      <c r="E802" s="7" t="s">
        <v>4116</v>
      </c>
      <c r="F802" s="7" t="s">
        <v>4165</v>
      </c>
      <c r="G802" s="7" t="s">
        <v>5002</v>
      </c>
      <c r="J802" s="131">
        <v>13105</v>
      </c>
      <c r="K802" s="34">
        <f t="shared" si="17"/>
        <v>7810.58</v>
      </c>
      <c r="L802" t="s">
        <v>4139</v>
      </c>
    </row>
    <row r="803" spans="2:12" x14ac:dyDescent="0.25">
      <c r="B803" s="53" t="s">
        <v>4798</v>
      </c>
      <c r="C803" s="132" t="s">
        <v>4991</v>
      </c>
      <c r="D803" s="7" t="s">
        <v>4124</v>
      </c>
      <c r="E803" s="7" t="s">
        <v>4116</v>
      </c>
      <c r="F803" s="7" t="s">
        <v>4166</v>
      </c>
      <c r="G803" s="7" t="s">
        <v>5002</v>
      </c>
      <c r="J803" s="131">
        <v>13105</v>
      </c>
      <c r="K803" s="34">
        <f t="shared" si="17"/>
        <v>7810.58</v>
      </c>
      <c r="L803" t="s">
        <v>4139</v>
      </c>
    </row>
    <row r="804" spans="2:12" x14ac:dyDescent="0.25">
      <c r="B804" s="53" t="s">
        <v>4799</v>
      </c>
      <c r="C804" s="132" t="s">
        <v>4991</v>
      </c>
      <c r="D804" s="7" t="s">
        <v>4125</v>
      </c>
      <c r="E804" s="7" t="s">
        <v>4116</v>
      </c>
      <c r="F804" s="7" t="s">
        <v>4175</v>
      </c>
      <c r="G804" s="7" t="s">
        <v>5002</v>
      </c>
      <c r="J804" s="131">
        <v>15663</v>
      </c>
      <c r="K804" s="34">
        <f t="shared" si="17"/>
        <v>9335.1479999999992</v>
      </c>
      <c r="L804" t="s">
        <v>4139</v>
      </c>
    </row>
    <row r="805" spans="2:12" x14ac:dyDescent="0.25">
      <c r="B805" s="53" t="s">
        <v>4800</v>
      </c>
      <c r="C805" s="132" t="s">
        <v>4991</v>
      </c>
      <c r="D805" s="7" t="s">
        <v>4126</v>
      </c>
      <c r="E805" s="7" t="s">
        <v>4116</v>
      </c>
      <c r="F805" s="7" t="s">
        <v>4176</v>
      </c>
      <c r="G805" s="7" t="s">
        <v>5002</v>
      </c>
      <c r="J805" s="131">
        <v>15663</v>
      </c>
      <c r="K805" s="34">
        <f t="shared" si="17"/>
        <v>9335.1479999999992</v>
      </c>
      <c r="L805" t="s">
        <v>4139</v>
      </c>
    </row>
    <row r="806" spans="2:12" x14ac:dyDescent="0.25">
      <c r="B806" s="53" t="s">
        <v>4801</v>
      </c>
      <c r="C806" s="132" t="s">
        <v>4991</v>
      </c>
      <c r="D806" s="7" t="s">
        <v>4127</v>
      </c>
      <c r="E806" s="7" t="s">
        <v>4116</v>
      </c>
      <c r="F806" s="7" t="s">
        <v>4177</v>
      </c>
      <c r="G806" s="7" t="s">
        <v>5002</v>
      </c>
      <c r="J806" s="131">
        <v>15663</v>
      </c>
      <c r="K806" s="34">
        <f t="shared" si="17"/>
        <v>9335.1479999999992</v>
      </c>
      <c r="L806" t="s">
        <v>4139</v>
      </c>
    </row>
    <row r="807" spans="2:12" x14ac:dyDescent="0.25">
      <c r="B807" s="53" t="s">
        <v>4802</v>
      </c>
      <c r="C807" s="132" t="s">
        <v>4991</v>
      </c>
      <c r="D807" s="7" t="s">
        <v>674</v>
      </c>
      <c r="E807" s="7" t="s">
        <v>4116</v>
      </c>
      <c r="F807" s="7" t="s">
        <v>4178</v>
      </c>
      <c r="G807" s="7" t="s">
        <v>5002</v>
      </c>
      <c r="J807" s="131">
        <v>15663</v>
      </c>
      <c r="K807" s="34">
        <f t="shared" si="17"/>
        <v>9335.1479999999992</v>
      </c>
      <c r="L807" t="s">
        <v>4139</v>
      </c>
    </row>
    <row r="808" spans="2:12" x14ac:dyDescent="0.25">
      <c r="B808" s="53" t="s">
        <v>4803</v>
      </c>
      <c r="C808" s="132" t="s">
        <v>4991</v>
      </c>
      <c r="D808" s="7" t="s">
        <v>4128</v>
      </c>
      <c r="E808" s="7" t="s">
        <v>4116</v>
      </c>
      <c r="F808" s="7" t="s">
        <v>4167</v>
      </c>
      <c r="G808" s="7" t="s">
        <v>5002</v>
      </c>
      <c r="J808" s="131">
        <v>12722</v>
      </c>
      <c r="K808" s="34">
        <f t="shared" si="17"/>
        <v>7582.3119999999999</v>
      </c>
      <c r="L808" t="s">
        <v>4139</v>
      </c>
    </row>
    <row r="809" spans="2:12" x14ac:dyDescent="0.25">
      <c r="B809" s="53" t="s">
        <v>4804</v>
      </c>
      <c r="C809" s="132" t="s">
        <v>4991</v>
      </c>
      <c r="D809" s="7" t="s">
        <v>4129</v>
      </c>
      <c r="E809" s="7" t="s">
        <v>4116</v>
      </c>
      <c r="F809" s="7" t="s">
        <v>4168</v>
      </c>
      <c r="G809" s="7" t="s">
        <v>5002</v>
      </c>
      <c r="J809" s="131">
        <v>12722</v>
      </c>
      <c r="K809" s="34">
        <f t="shared" si="17"/>
        <v>7582.3119999999999</v>
      </c>
      <c r="L809" t="s">
        <v>4139</v>
      </c>
    </row>
    <row r="810" spans="2:12" x14ac:dyDescent="0.25">
      <c r="B810" s="53" t="s">
        <v>4805</v>
      </c>
      <c r="C810" s="132" t="s">
        <v>4991</v>
      </c>
      <c r="D810" s="7" t="s">
        <v>4130</v>
      </c>
      <c r="E810" s="7" t="s">
        <v>4116</v>
      </c>
      <c r="F810" s="7" t="s">
        <v>4156</v>
      </c>
      <c r="G810" s="7" t="s">
        <v>5002</v>
      </c>
      <c r="J810" s="131">
        <v>12722</v>
      </c>
      <c r="K810" s="34">
        <f t="shared" si="17"/>
        <v>7582.3119999999999</v>
      </c>
      <c r="L810" t="s">
        <v>4139</v>
      </c>
    </row>
    <row r="811" spans="2:12" x14ac:dyDescent="0.25">
      <c r="B811" s="53" t="s">
        <v>4806</v>
      </c>
      <c r="C811" s="132" t="s">
        <v>4991</v>
      </c>
      <c r="D811" s="7" t="s">
        <v>4131</v>
      </c>
      <c r="E811" s="7" t="s">
        <v>4116</v>
      </c>
      <c r="F811" s="7" t="s">
        <v>4147</v>
      </c>
      <c r="G811" s="7" t="s">
        <v>5002</v>
      </c>
      <c r="J811" s="131">
        <v>13105</v>
      </c>
      <c r="K811" s="34">
        <f t="shared" si="17"/>
        <v>7810.58</v>
      </c>
      <c r="L811" t="s">
        <v>4139</v>
      </c>
    </row>
    <row r="812" spans="2:12" x14ac:dyDescent="0.25">
      <c r="B812" s="53" t="s">
        <v>4807</v>
      </c>
      <c r="C812" s="132" t="s">
        <v>4991</v>
      </c>
      <c r="D812" s="7" t="s">
        <v>4132</v>
      </c>
      <c r="E812" s="7" t="s">
        <v>4116</v>
      </c>
      <c r="F812" s="7" t="s">
        <v>4169</v>
      </c>
      <c r="G812" s="7" t="s">
        <v>5002</v>
      </c>
      <c r="J812" s="131">
        <v>13105</v>
      </c>
      <c r="K812" s="34">
        <f t="shared" si="17"/>
        <v>7810.58</v>
      </c>
      <c r="L812" t="s">
        <v>4139</v>
      </c>
    </row>
    <row r="813" spans="2:12" x14ac:dyDescent="0.25">
      <c r="B813" s="53" t="s">
        <v>4808</v>
      </c>
      <c r="C813" s="132" t="s">
        <v>4991</v>
      </c>
      <c r="D813" s="7" t="s">
        <v>4133</v>
      </c>
      <c r="E813" s="7" t="s">
        <v>4116</v>
      </c>
      <c r="F813" s="7" t="s">
        <v>4179</v>
      </c>
      <c r="G813" s="7" t="s">
        <v>5002</v>
      </c>
      <c r="J813" s="131">
        <v>13105</v>
      </c>
      <c r="K813" s="34">
        <f t="shared" si="17"/>
        <v>7810.58</v>
      </c>
      <c r="L813" t="s">
        <v>4139</v>
      </c>
    </row>
    <row r="814" spans="2:12" x14ac:dyDescent="0.25">
      <c r="B814" s="53" t="s">
        <v>4809</v>
      </c>
      <c r="C814" s="132" t="s">
        <v>4991</v>
      </c>
      <c r="D814" s="7" t="s">
        <v>4134</v>
      </c>
      <c r="E814" s="7" t="s">
        <v>4116</v>
      </c>
      <c r="F814" s="7" t="s">
        <v>4180</v>
      </c>
      <c r="G814" s="7" t="s">
        <v>5002</v>
      </c>
      <c r="J814" s="131">
        <v>13105</v>
      </c>
      <c r="K814" s="34">
        <f t="shared" si="17"/>
        <v>7810.58</v>
      </c>
      <c r="L814" t="s">
        <v>4139</v>
      </c>
    </row>
    <row r="815" spans="2:12" x14ac:dyDescent="0.25">
      <c r="B815" s="53" t="s">
        <v>4810</v>
      </c>
      <c r="C815" s="132" t="s">
        <v>4991</v>
      </c>
      <c r="D815" s="7" t="s">
        <v>4135</v>
      </c>
      <c r="E815" s="7" t="s">
        <v>4116</v>
      </c>
      <c r="F815" s="7" t="s">
        <v>4181</v>
      </c>
      <c r="G815" s="7" t="s">
        <v>5002</v>
      </c>
      <c r="J815" s="131">
        <v>15663</v>
      </c>
      <c r="K815" s="34">
        <f t="shared" si="17"/>
        <v>9335.1479999999992</v>
      </c>
      <c r="L815" t="s">
        <v>4139</v>
      </c>
    </row>
    <row r="816" spans="2:12" x14ac:dyDescent="0.25">
      <c r="B816" s="53" t="s">
        <v>4811</v>
      </c>
      <c r="C816" s="132" t="s">
        <v>4991</v>
      </c>
      <c r="D816" s="7" t="s">
        <v>4136</v>
      </c>
      <c r="E816" s="7" t="s">
        <v>4116</v>
      </c>
      <c r="F816" s="7" t="s">
        <v>4182</v>
      </c>
      <c r="G816" s="7" t="s">
        <v>5002</v>
      </c>
      <c r="J816" s="131">
        <v>15663</v>
      </c>
      <c r="K816" s="34">
        <f t="shared" si="17"/>
        <v>9335.1479999999992</v>
      </c>
      <c r="L816" t="s">
        <v>4139</v>
      </c>
    </row>
    <row r="817" spans="1:12" x14ac:dyDescent="0.25">
      <c r="B817" s="53" t="s">
        <v>4812</v>
      </c>
      <c r="C817" s="132" t="s">
        <v>4991</v>
      </c>
      <c r="D817" s="7" t="s">
        <v>4137</v>
      </c>
      <c r="E817" s="7" t="s">
        <v>4116</v>
      </c>
      <c r="F817" s="7" t="s">
        <v>4183</v>
      </c>
      <c r="G817" s="7" t="s">
        <v>5002</v>
      </c>
      <c r="J817" s="131">
        <v>15663</v>
      </c>
      <c r="K817" s="34">
        <f t="shared" si="17"/>
        <v>9335.1479999999992</v>
      </c>
      <c r="L817" t="s">
        <v>4139</v>
      </c>
    </row>
    <row r="818" spans="1:12" x14ac:dyDescent="0.25">
      <c r="B818" s="53" t="s">
        <v>4813</v>
      </c>
      <c r="C818" s="132" t="s">
        <v>4991</v>
      </c>
      <c r="D818" s="7" t="s">
        <v>687</v>
      </c>
      <c r="E818" s="7" t="s">
        <v>4116</v>
      </c>
      <c r="F818" s="7" t="s">
        <v>4184</v>
      </c>
      <c r="G818" s="7" t="s">
        <v>5002</v>
      </c>
      <c r="J818" s="131">
        <v>15663</v>
      </c>
      <c r="K818" s="34">
        <f t="shared" si="17"/>
        <v>9335.1479999999992</v>
      </c>
      <c r="L818" t="s">
        <v>4139</v>
      </c>
    </row>
    <row r="819" spans="1:12" s="62" customFormat="1" x14ac:dyDescent="0.25">
      <c r="A819" s="62" t="s">
        <v>4997</v>
      </c>
      <c r="B819" s="133" t="s">
        <v>4116</v>
      </c>
      <c r="G819" s="63"/>
      <c r="J819" s="135"/>
      <c r="K819" s="65"/>
    </row>
    <row r="820" spans="1:12" x14ac:dyDescent="0.25">
      <c r="B820" s="53" t="s">
        <v>4814</v>
      </c>
      <c r="C820" s="132" t="s">
        <v>4992</v>
      </c>
      <c r="D820" s="7" t="s">
        <v>124</v>
      </c>
      <c r="E820" s="7" t="s">
        <v>4116</v>
      </c>
      <c r="F820" s="2" t="s">
        <v>4368</v>
      </c>
      <c r="G820" s="7" t="s">
        <v>5002</v>
      </c>
      <c r="J820" s="131">
        <v>12759</v>
      </c>
      <c r="K820" s="34">
        <f t="shared" si="17"/>
        <v>7604.3639999999996</v>
      </c>
      <c r="L820" t="s">
        <v>4139</v>
      </c>
    </row>
    <row r="821" spans="1:12" x14ac:dyDescent="0.25">
      <c r="B821" s="53" t="s">
        <v>4815</v>
      </c>
      <c r="C821" s="132" t="s">
        <v>4992</v>
      </c>
      <c r="D821" s="7" t="s">
        <v>125</v>
      </c>
      <c r="E821" s="7" t="s">
        <v>4116</v>
      </c>
      <c r="F821" s="7" t="s">
        <v>4369</v>
      </c>
      <c r="G821" s="7" t="s">
        <v>5002</v>
      </c>
      <c r="J821" s="131">
        <v>12759</v>
      </c>
      <c r="K821" s="34">
        <f t="shared" si="17"/>
        <v>7604.3639999999996</v>
      </c>
      <c r="L821" t="s">
        <v>4139</v>
      </c>
    </row>
    <row r="822" spans="1:12" x14ac:dyDescent="0.25">
      <c r="B822" s="53" t="s">
        <v>4816</v>
      </c>
      <c r="C822" s="132" t="s">
        <v>4992</v>
      </c>
      <c r="D822" s="7" t="s">
        <v>126</v>
      </c>
      <c r="E822" s="7" t="s">
        <v>4116</v>
      </c>
      <c r="F822" s="7" t="s">
        <v>4370</v>
      </c>
      <c r="G822" s="7" t="s">
        <v>5002</v>
      </c>
      <c r="J822" s="131">
        <v>12759</v>
      </c>
      <c r="K822" s="34">
        <f t="shared" si="17"/>
        <v>7604.3639999999996</v>
      </c>
      <c r="L822" t="s">
        <v>4139</v>
      </c>
    </row>
    <row r="823" spans="1:12" x14ac:dyDescent="0.25">
      <c r="B823" s="53" t="s">
        <v>4817</v>
      </c>
      <c r="C823" s="132" t="s">
        <v>4992</v>
      </c>
      <c r="D823" s="7" t="s">
        <v>127</v>
      </c>
      <c r="E823" s="7" t="s">
        <v>4116</v>
      </c>
      <c r="F823" s="7" t="s">
        <v>4371</v>
      </c>
      <c r="G823" s="7" t="s">
        <v>5002</v>
      </c>
      <c r="J823" s="131">
        <v>13139</v>
      </c>
      <c r="K823" s="34">
        <f t="shared" si="17"/>
        <v>7830.8440000000001</v>
      </c>
      <c r="L823" t="s">
        <v>4139</v>
      </c>
    </row>
    <row r="824" spans="1:12" x14ac:dyDescent="0.25">
      <c r="B824" s="53" t="s">
        <v>4818</v>
      </c>
      <c r="C824" s="132" t="s">
        <v>4992</v>
      </c>
      <c r="D824" s="7" t="s">
        <v>128</v>
      </c>
      <c r="E824" s="7" t="s">
        <v>4116</v>
      </c>
      <c r="F824" s="7" t="s">
        <v>4372</v>
      </c>
      <c r="G824" s="7" t="s">
        <v>5002</v>
      </c>
      <c r="J824" s="131">
        <v>13139</v>
      </c>
      <c r="K824" s="34">
        <f t="shared" si="17"/>
        <v>7830.8440000000001</v>
      </c>
      <c r="L824" t="s">
        <v>4139</v>
      </c>
    </row>
    <row r="825" spans="1:12" x14ac:dyDescent="0.25">
      <c r="B825" s="53" t="s">
        <v>4819</v>
      </c>
      <c r="C825" s="132" t="s">
        <v>4992</v>
      </c>
      <c r="D825" s="7" t="s">
        <v>129</v>
      </c>
      <c r="E825" s="7" t="s">
        <v>4116</v>
      </c>
      <c r="F825" s="7" t="s">
        <v>4373</v>
      </c>
      <c r="G825" s="7" t="s">
        <v>5002</v>
      </c>
      <c r="J825" s="131">
        <v>13139</v>
      </c>
      <c r="K825" s="34">
        <f t="shared" si="17"/>
        <v>7830.8440000000001</v>
      </c>
      <c r="L825" t="s">
        <v>4139</v>
      </c>
    </row>
    <row r="826" spans="1:12" x14ac:dyDescent="0.25">
      <c r="B826" s="53" t="s">
        <v>4820</v>
      </c>
      <c r="C826" s="132" t="s">
        <v>4992</v>
      </c>
      <c r="D826" s="7" t="s">
        <v>130</v>
      </c>
      <c r="E826" s="7" t="s">
        <v>4116</v>
      </c>
      <c r="F826" s="7" t="s">
        <v>4374</v>
      </c>
      <c r="G826" s="7" t="s">
        <v>5002</v>
      </c>
      <c r="J826" s="131">
        <v>13139</v>
      </c>
      <c r="K826" s="34">
        <f t="shared" si="17"/>
        <v>7830.8440000000001</v>
      </c>
      <c r="L826" t="s">
        <v>4139</v>
      </c>
    </row>
    <row r="827" spans="1:12" x14ac:dyDescent="0.25">
      <c r="B827" s="53" t="s">
        <v>4821</v>
      </c>
      <c r="C827" s="132" t="s">
        <v>4992</v>
      </c>
      <c r="D827" s="7" t="s">
        <v>142</v>
      </c>
      <c r="E827" s="7" t="s">
        <v>4116</v>
      </c>
      <c r="F827" s="7" t="s">
        <v>4375</v>
      </c>
      <c r="G827" s="7" t="s">
        <v>5002</v>
      </c>
      <c r="J827" s="131">
        <v>15740</v>
      </c>
      <c r="K827" s="34">
        <f t="shared" si="17"/>
        <v>9381.0399999999991</v>
      </c>
      <c r="L827" t="s">
        <v>4139</v>
      </c>
    </row>
    <row r="828" spans="1:12" x14ac:dyDescent="0.25">
      <c r="B828" s="53" t="s">
        <v>4822</v>
      </c>
      <c r="C828" s="132" t="s">
        <v>4992</v>
      </c>
      <c r="D828" s="7" t="s">
        <v>143</v>
      </c>
      <c r="E828" s="7" t="s">
        <v>4116</v>
      </c>
      <c r="F828" s="7" t="s">
        <v>4376</v>
      </c>
      <c r="G828" s="7" t="s">
        <v>5002</v>
      </c>
      <c r="J828" s="131">
        <v>15740</v>
      </c>
      <c r="K828" s="34">
        <f t="shared" si="17"/>
        <v>9381.0399999999991</v>
      </c>
      <c r="L828" t="s">
        <v>4139</v>
      </c>
    </row>
    <row r="829" spans="1:12" x14ac:dyDescent="0.25">
      <c r="B829" s="53" t="s">
        <v>4823</v>
      </c>
      <c r="C829" s="132" t="s">
        <v>4992</v>
      </c>
      <c r="D829" s="7" t="s">
        <v>144</v>
      </c>
      <c r="E829" s="7" t="s">
        <v>4116</v>
      </c>
      <c r="F829" s="7" t="s">
        <v>4377</v>
      </c>
      <c r="G829" s="7" t="s">
        <v>5002</v>
      </c>
      <c r="J829" s="131">
        <v>15740</v>
      </c>
      <c r="K829" s="34">
        <f t="shared" si="17"/>
        <v>9381.0399999999991</v>
      </c>
      <c r="L829" t="s">
        <v>4139</v>
      </c>
    </row>
    <row r="830" spans="1:12" x14ac:dyDescent="0.25">
      <c r="B830" s="53" t="s">
        <v>4824</v>
      </c>
      <c r="C830" s="132" t="s">
        <v>4992</v>
      </c>
      <c r="D830" s="7" t="s">
        <v>145</v>
      </c>
      <c r="E830" s="7" t="s">
        <v>4116</v>
      </c>
      <c r="F830" s="7" t="s">
        <v>4378</v>
      </c>
      <c r="G830" s="7" t="s">
        <v>5002</v>
      </c>
      <c r="J830" s="131">
        <v>15740</v>
      </c>
      <c r="K830" s="34">
        <f t="shared" si="17"/>
        <v>9381.0399999999991</v>
      </c>
      <c r="L830" t="s">
        <v>4139</v>
      </c>
    </row>
    <row r="831" spans="1:12" x14ac:dyDescent="0.25">
      <c r="B831" s="53" t="s">
        <v>4825</v>
      </c>
      <c r="C831" s="132" t="s">
        <v>4992</v>
      </c>
      <c r="D831" s="7" t="s">
        <v>131</v>
      </c>
      <c r="E831" s="7" t="s">
        <v>4116</v>
      </c>
      <c r="F831" s="7" t="s">
        <v>4379</v>
      </c>
      <c r="G831" s="7" t="s">
        <v>5002</v>
      </c>
      <c r="J831" s="131">
        <v>12759</v>
      </c>
      <c r="K831" s="34">
        <f t="shared" ref="K831:K894" si="18">J831*0.596</f>
        <v>7604.3639999999996</v>
      </c>
      <c r="L831" t="s">
        <v>4139</v>
      </c>
    </row>
    <row r="832" spans="1:12" x14ac:dyDescent="0.25">
      <c r="B832" s="53" t="s">
        <v>4826</v>
      </c>
      <c r="C832" s="132" t="s">
        <v>4992</v>
      </c>
      <c r="D832" s="7" t="s">
        <v>132</v>
      </c>
      <c r="E832" s="7" t="s">
        <v>4116</v>
      </c>
      <c r="F832" s="7" t="s">
        <v>4380</v>
      </c>
      <c r="G832" s="7" t="s">
        <v>5002</v>
      </c>
      <c r="J832" s="131">
        <v>12759</v>
      </c>
      <c r="K832" s="34">
        <f t="shared" si="18"/>
        <v>7604.3639999999996</v>
      </c>
      <c r="L832" t="s">
        <v>4139</v>
      </c>
    </row>
    <row r="833" spans="2:12" x14ac:dyDescent="0.25">
      <c r="B833" s="53" t="s">
        <v>4827</v>
      </c>
      <c r="C833" s="132" t="s">
        <v>4992</v>
      </c>
      <c r="D833" s="7" t="s">
        <v>133</v>
      </c>
      <c r="E833" s="7" t="s">
        <v>4116</v>
      </c>
      <c r="F833" s="7" t="s">
        <v>4381</v>
      </c>
      <c r="G833" s="7" t="s">
        <v>5002</v>
      </c>
      <c r="J833" s="131">
        <v>12759</v>
      </c>
      <c r="K833" s="34">
        <f t="shared" si="18"/>
        <v>7604.3639999999996</v>
      </c>
      <c r="L833" t="s">
        <v>4139</v>
      </c>
    </row>
    <row r="834" spans="2:12" x14ac:dyDescent="0.25">
      <c r="B834" s="53" t="s">
        <v>4828</v>
      </c>
      <c r="C834" s="132" t="s">
        <v>4992</v>
      </c>
      <c r="D834" s="7" t="s">
        <v>134</v>
      </c>
      <c r="E834" s="7" t="s">
        <v>4116</v>
      </c>
      <c r="F834" s="7" t="s">
        <v>4382</v>
      </c>
      <c r="G834" s="7" t="s">
        <v>5002</v>
      </c>
      <c r="J834" s="131">
        <v>13139</v>
      </c>
      <c r="K834" s="34">
        <f t="shared" si="18"/>
        <v>7830.8440000000001</v>
      </c>
      <c r="L834" t="s">
        <v>4139</v>
      </c>
    </row>
    <row r="835" spans="2:12" x14ac:dyDescent="0.25">
      <c r="B835" s="53" t="s">
        <v>4829</v>
      </c>
      <c r="C835" s="132" t="s">
        <v>4992</v>
      </c>
      <c r="D835" s="7" t="s">
        <v>135</v>
      </c>
      <c r="E835" s="7" t="s">
        <v>4116</v>
      </c>
      <c r="F835" s="7" t="s">
        <v>4383</v>
      </c>
      <c r="G835" s="7" t="s">
        <v>5002</v>
      </c>
      <c r="J835" s="131">
        <v>13139</v>
      </c>
      <c r="K835" s="34">
        <f t="shared" si="18"/>
        <v>7830.8440000000001</v>
      </c>
      <c r="L835" t="s">
        <v>4139</v>
      </c>
    </row>
    <row r="836" spans="2:12" x14ac:dyDescent="0.25">
      <c r="B836" s="53" t="s">
        <v>4830</v>
      </c>
      <c r="C836" s="132" t="s">
        <v>4992</v>
      </c>
      <c r="D836" s="7" t="s">
        <v>136</v>
      </c>
      <c r="E836" s="7" t="s">
        <v>4116</v>
      </c>
      <c r="F836" s="7" t="s">
        <v>4384</v>
      </c>
      <c r="G836" s="7" t="s">
        <v>5002</v>
      </c>
      <c r="J836" s="131">
        <v>13139</v>
      </c>
      <c r="K836" s="34">
        <f t="shared" si="18"/>
        <v>7830.8440000000001</v>
      </c>
      <c r="L836" t="s">
        <v>4139</v>
      </c>
    </row>
    <row r="837" spans="2:12" x14ac:dyDescent="0.25">
      <c r="B837" s="53" t="s">
        <v>4831</v>
      </c>
      <c r="C837" s="132" t="s">
        <v>4992</v>
      </c>
      <c r="D837" s="7" t="s">
        <v>137</v>
      </c>
      <c r="E837" s="7" t="s">
        <v>4116</v>
      </c>
      <c r="F837" s="7" t="s">
        <v>4385</v>
      </c>
      <c r="G837" s="7" t="s">
        <v>5002</v>
      </c>
      <c r="J837" s="131">
        <v>13139</v>
      </c>
      <c r="K837" s="34">
        <f t="shared" si="18"/>
        <v>7830.8440000000001</v>
      </c>
      <c r="L837" t="s">
        <v>4139</v>
      </c>
    </row>
    <row r="838" spans="2:12" x14ac:dyDescent="0.25">
      <c r="B838" s="53" t="s">
        <v>4832</v>
      </c>
      <c r="C838" s="132" t="s">
        <v>4992</v>
      </c>
      <c r="D838" s="7" t="s">
        <v>146</v>
      </c>
      <c r="E838" s="7" t="s">
        <v>4116</v>
      </c>
      <c r="F838" s="7" t="s">
        <v>4386</v>
      </c>
      <c r="G838" s="7" t="s">
        <v>5002</v>
      </c>
      <c r="J838" s="131">
        <v>15740</v>
      </c>
      <c r="K838" s="34">
        <f t="shared" si="18"/>
        <v>9381.0399999999991</v>
      </c>
      <c r="L838" t="s">
        <v>4139</v>
      </c>
    </row>
    <row r="839" spans="2:12" x14ac:dyDescent="0.25">
      <c r="B839" s="53" t="s">
        <v>4833</v>
      </c>
      <c r="C839" s="132" t="s">
        <v>4992</v>
      </c>
      <c r="D839" s="7" t="s">
        <v>156</v>
      </c>
      <c r="E839" s="7" t="s">
        <v>4116</v>
      </c>
      <c r="F839" s="7" t="s">
        <v>4387</v>
      </c>
      <c r="G839" s="7" t="s">
        <v>5002</v>
      </c>
      <c r="J839" s="131">
        <v>15740</v>
      </c>
      <c r="K839" s="34">
        <f t="shared" si="18"/>
        <v>9381.0399999999991</v>
      </c>
      <c r="L839" t="s">
        <v>4139</v>
      </c>
    </row>
    <row r="840" spans="2:12" x14ac:dyDescent="0.25">
      <c r="B840" s="53" t="s">
        <v>4834</v>
      </c>
      <c r="C840" s="132" t="s">
        <v>4992</v>
      </c>
      <c r="D840" s="7" t="s">
        <v>148</v>
      </c>
      <c r="E840" s="7" t="s">
        <v>4116</v>
      </c>
      <c r="F840" s="7" t="s">
        <v>4388</v>
      </c>
      <c r="G840" s="7" t="s">
        <v>5002</v>
      </c>
      <c r="J840" s="131">
        <v>15740</v>
      </c>
      <c r="K840" s="34">
        <f t="shared" si="18"/>
        <v>9381.0399999999991</v>
      </c>
      <c r="L840" t="s">
        <v>4139</v>
      </c>
    </row>
    <row r="841" spans="2:12" x14ac:dyDescent="0.25">
      <c r="B841" s="53" t="s">
        <v>4835</v>
      </c>
      <c r="C841" s="132" t="s">
        <v>4992</v>
      </c>
      <c r="D841" s="7" t="s">
        <v>149</v>
      </c>
      <c r="E841" s="7" t="s">
        <v>4116</v>
      </c>
      <c r="F841" s="7" t="s">
        <v>4389</v>
      </c>
      <c r="G841" s="7" t="s">
        <v>5002</v>
      </c>
      <c r="J841" s="131">
        <v>15740</v>
      </c>
      <c r="K841" s="34">
        <f t="shared" si="18"/>
        <v>9381.0399999999991</v>
      </c>
      <c r="L841" t="s">
        <v>4139</v>
      </c>
    </row>
    <row r="842" spans="2:12" x14ac:dyDescent="0.25">
      <c r="B842" s="53" t="s">
        <v>4836</v>
      </c>
      <c r="C842" s="132" t="s">
        <v>4992</v>
      </c>
      <c r="D842" s="7" t="s">
        <v>4118</v>
      </c>
      <c r="E842" s="7" t="s">
        <v>4116</v>
      </c>
      <c r="F842" s="7" t="s">
        <v>4390</v>
      </c>
      <c r="G842" s="7" t="s">
        <v>5002</v>
      </c>
      <c r="J842" s="131">
        <v>12759</v>
      </c>
      <c r="K842" s="34">
        <f t="shared" si="18"/>
        <v>7604.3639999999996</v>
      </c>
      <c r="L842" t="s">
        <v>4139</v>
      </c>
    </row>
    <row r="843" spans="2:12" x14ac:dyDescent="0.25">
      <c r="B843" s="53" t="s">
        <v>4837</v>
      </c>
      <c r="C843" s="132" t="s">
        <v>4992</v>
      </c>
      <c r="D843" s="7" t="s">
        <v>4119</v>
      </c>
      <c r="E843" s="7" t="s">
        <v>4116</v>
      </c>
      <c r="F843" s="7" t="s">
        <v>4391</v>
      </c>
      <c r="G843" s="7" t="s">
        <v>5002</v>
      </c>
      <c r="J843" s="131">
        <v>12759</v>
      </c>
      <c r="K843" s="34">
        <f t="shared" si="18"/>
        <v>7604.3639999999996</v>
      </c>
      <c r="L843" t="s">
        <v>4139</v>
      </c>
    </row>
    <row r="844" spans="2:12" x14ac:dyDescent="0.25">
      <c r="B844" s="53" t="s">
        <v>4838</v>
      </c>
      <c r="C844" s="132" t="s">
        <v>4992</v>
      </c>
      <c r="D844" s="7" t="s">
        <v>4120</v>
      </c>
      <c r="E844" s="7" t="s">
        <v>4116</v>
      </c>
      <c r="F844" s="7" t="s">
        <v>4392</v>
      </c>
      <c r="G844" s="7" t="s">
        <v>5002</v>
      </c>
      <c r="J844" s="131">
        <v>12759</v>
      </c>
      <c r="K844" s="34">
        <f t="shared" si="18"/>
        <v>7604.3639999999996</v>
      </c>
      <c r="L844" t="s">
        <v>4139</v>
      </c>
    </row>
    <row r="845" spans="2:12" x14ac:dyDescent="0.25">
      <c r="B845" s="53" t="s">
        <v>4839</v>
      </c>
      <c r="C845" s="132" t="s">
        <v>4992</v>
      </c>
      <c r="D845" s="7" t="s">
        <v>4121</v>
      </c>
      <c r="E845" s="7" t="s">
        <v>4116</v>
      </c>
      <c r="F845" s="7" t="s">
        <v>4393</v>
      </c>
      <c r="G845" s="7" t="s">
        <v>5002</v>
      </c>
      <c r="J845" s="131">
        <v>13139</v>
      </c>
      <c r="K845" s="34">
        <f t="shared" si="18"/>
        <v>7830.8440000000001</v>
      </c>
      <c r="L845" t="s">
        <v>4139</v>
      </c>
    </row>
    <row r="846" spans="2:12" x14ac:dyDescent="0.25">
      <c r="B846" s="53" t="s">
        <v>4840</v>
      </c>
      <c r="C846" s="132" t="s">
        <v>4992</v>
      </c>
      <c r="D846" s="7" t="s">
        <v>4122</v>
      </c>
      <c r="E846" s="7" t="s">
        <v>4116</v>
      </c>
      <c r="F846" s="7" t="s">
        <v>4394</v>
      </c>
      <c r="G846" s="7" t="s">
        <v>5002</v>
      </c>
      <c r="J846" s="131">
        <v>13139</v>
      </c>
      <c r="K846" s="34">
        <f t="shared" si="18"/>
        <v>7830.8440000000001</v>
      </c>
      <c r="L846" t="s">
        <v>4139</v>
      </c>
    </row>
    <row r="847" spans="2:12" x14ac:dyDescent="0.25">
      <c r="B847" s="53" t="s">
        <v>4841</v>
      </c>
      <c r="C847" s="132" t="s">
        <v>4992</v>
      </c>
      <c r="D847" s="7" t="s">
        <v>4123</v>
      </c>
      <c r="E847" s="7" t="s">
        <v>4116</v>
      </c>
      <c r="F847" s="7" t="s">
        <v>4395</v>
      </c>
      <c r="G847" s="7" t="s">
        <v>5002</v>
      </c>
      <c r="J847" s="131">
        <v>13139</v>
      </c>
      <c r="K847" s="34">
        <f t="shared" si="18"/>
        <v>7830.8440000000001</v>
      </c>
      <c r="L847" t="s">
        <v>4139</v>
      </c>
    </row>
    <row r="848" spans="2:12" x14ac:dyDescent="0.25">
      <c r="B848" s="53" t="s">
        <v>4842</v>
      </c>
      <c r="C848" s="132" t="s">
        <v>4992</v>
      </c>
      <c r="D848" s="7" t="s">
        <v>4124</v>
      </c>
      <c r="E848" s="7" t="s">
        <v>4116</v>
      </c>
      <c r="F848" s="7" t="s">
        <v>4396</v>
      </c>
      <c r="G848" s="7" t="s">
        <v>5002</v>
      </c>
      <c r="J848" s="131">
        <v>13139</v>
      </c>
      <c r="K848" s="34">
        <f t="shared" si="18"/>
        <v>7830.8440000000001</v>
      </c>
      <c r="L848" t="s">
        <v>4139</v>
      </c>
    </row>
    <row r="849" spans="2:12" x14ac:dyDescent="0.25">
      <c r="B849" s="53" t="s">
        <v>4843</v>
      </c>
      <c r="C849" s="132" t="s">
        <v>4992</v>
      </c>
      <c r="D849" s="7" t="s">
        <v>4125</v>
      </c>
      <c r="E849" s="7" t="s">
        <v>4116</v>
      </c>
      <c r="F849" s="7" t="s">
        <v>4397</v>
      </c>
      <c r="G849" s="7" t="s">
        <v>5002</v>
      </c>
      <c r="J849" s="131">
        <v>15740</v>
      </c>
      <c r="K849" s="34">
        <f t="shared" si="18"/>
        <v>9381.0399999999991</v>
      </c>
      <c r="L849" t="s">
        <v>4139</v>
      </c>
    </row>
    <row r="850" spans="2:12" x14ac:dyDescent="0.25">
      <c r="B850" s="53" t="s">
        <v>4844</v>
      </c>
      <c r="C850" s="132" t="s">
        <v>4992</v>
      </c>
      <c r="D850" s="7" t="s">
        <v>4126</v>
      </c>
      <c r="E850" s="7" t="s">
        <v>4116</v>
      </c>
      <c r="F850" s="7" t="s">
        <v>4398</v>
      </c>
      <c r="G850" s="7" t="s">
        <v>5002</v>
      </c>
      <c r="J850" s="131">
        <v>15740</v>
      </c>
      <c r="K850" s="34">
        <f t="shared" si="18"/>
        <v>9381.0399999999991</v>
      </c>
      <c r="L850" t="s">
        <v>4139</v>
      </c>
    </row>
    <row r="851" spans="2:12" x14ac:dyDescent="0.25">
      <c r="B851" s="53" t="s">
        <v>4845</v>
      </c>
      <c r="C851" s="132" t="s">
        <v>4992</v>
      </c>
      <c r="D851" s="7" t="s">
        <v>4127</v>
      </c>
      <c r="E851" s="7" t="s">
        <v>4116</v>
      </c>
      <c r="F851" s="7" t="s">
        <v>4399</v>
      </c>
      <c r="G851" s="7" t="s">
        <v>5002</v>
      </c>
      <c r="J851" s="131">
        <v>15740</v>
      </c>
      <c r="K851" s="34">
        <f t="shared" si="18"/>
        <v>9381.0399999999991</v>
      </c>
      <c r="L851" t="s">
        <v>4139</v>
      </c>
    </row>
    <row r="852" spans="2:12" x14ac:dyDescent="0.25">
      <c r="B852" s="53" t="s">
        <v>4846</v>
      </c>
      <c r="C852" s="132" t="s">
        <v>4992</v>
      </c>
      <c r="D852" s="7" t="s">
        <v>674</v>
      </c>
      <c r="E852" s="7" t="s">
        <v>4116</v>
      </c>
      <c r="F852" s="7" t="s">
        <v>4400</v>
      </c>
      <c r="G852" s="7" t="s">
        <v>5002</v>
      </c>
      <c r="J852" s="131">
        <v>15740</v>
      </c>
      <c r="K852" s="34">
        <f t="shared" si="18"/>
        <v>9381.0399999999991</v>
      </c>
      <c r="L852" t="s">
        <v>4139</v>
      </c>
    </row>
    <row r="853" spans="2:12" x14ac:dyDescent="0.25">
      <c r="B853" s="53" t="s">
        <v>4847</v>
      </c>
      <c r="C853" s="132" t="s">
        <v>4992</v>
      </c>
      <c r="D853" s="7" t="s">
        <v>4128</v>
      </c>
      <c r="E853" s="7" t="s">
        <v>4116</v>
      </c>
      <c r="F853" s="7" t="s">
        <v>4401</v>
      </c>
      <c r="G853" s="7" t="s">
        <v>5002</v>
      </c>
      <c r="J853" s="131">
        <v>12759</v>
      </c>
      <c r="K853" s="34">
        <f t="shared" si="18"/>
        <v>7604.3639999999996</v>
      </c>
      <c r="L853" t="s">
        <v>4139</v>
      </c>
    </row>
    <row r="854" spans="2:12" x14ac:dyDescent="0.25">
      <c r="B854" s="53" t="s">
        <v>4848</v>
      </c>
      <c r="C854" s="132" t="s">
        <v>4992</v>
      </c>
      <c r="D854" s="7" t="s">
        <v>4129</v>
      </c>
      <c r="E854" s="7" t="s">
        <v>4116</v>
      </c>
      <c r="F854" s="7" t="s">
        <v>4402</v>
      </c>
      <c r="G854" s="7" t="s">
        <v>5002</v>
      </c>
      <c r="J854" s="131">
        <v>12759</v>
      </c>
      <c r="K854" s="34">
        <f t="shared" si="18"/>
        <v>7604.3639999999996</v>
      </c>
      <c r="L854" t="s">
        <v>4139</v>
      </c>
    </row>
    <row r="855" spans="2:12" x14ac:dyDescent="0.25">
      <c r="B855" s="53" t="s">
        <v>4849</v>
      </c>
      <c r="C855" s="132" t="s">
        <v>4992</v>
      </c>
      <c r="D855" s="7" t="s">
        <v>4130</v>
      </c>
      <c r="E855" s="7" t="s">
        <v>4116</v>
      </c>
      <c r="F855" s="7" t="s">
        <v>4403</v>
      </c>
      <c r="G855" s="7" t="s">
        <v>5002</v>
      </c>
      <c r="J855" s="131">
        <v>12759</v>
      </c>
      <c r="K855" s="34">
        <f t="shared" si="18"/>
        <v>7604.3639999999996</v>
      </c>
      <c r="L855" t="s">
        <v>4139</v>
      </c>
    </row>
    <row r="856" spans="2:12" x14ac:dyDescent="0.25">
      <c r="B856" s="53" t="s">
        <v>4850</v>
      </c>
      <c r="C856" s="132" t="s">
        <v>4992</v>
      </c>
      <c r="D856" s="7" t="s">
        <v>4131</v>
      </c>
      <c r="E856" s="7" t="s">
        <v>4116</v>
      </c>
      <c r="F856" s="7" t="s">
        <v>4404</v>
      </c>
      <c r="G856" s="7" t="s">
        <v>5002</v>
      </c>
      <c r="J856" s="131">
        <v>13139</v>
      </c>
      <c r="K856" s="34">
        <f t="shared" si="18"/>
        <v>7830.8440000000001</v>
      </c>
      <c r="L856" t="s">
        <v>4139</v>
      </c>
    </row>
    <row r="857" spans="2:12" x14ac:dyDescent="0.25">
      <c r="B857" s="53" t="s">
        <v>4851</v>
      </c>
      <c r="C857" s="132" t="s">
        <v>4992</v>
      </c>
      <c r="D857" s="7" t="s">
        <v>4132</v>
      </c>
      <c r="E857" s="7" t="s">
        <v>4116</v>
      </c>
      <c r="F857" s="7" t="s">
        <v>4405</v>
      </c>
      <c r="G857" s="7" t="s">
        <v>5002</v>
      </c>
      <c r="J857" s="131">
        <v>13139</v>
      </c>
      <c r="K857" s="34">
        <f t="shared" si="18"/>
        <v>7830.8440000000001</v>
      </c>
      <c r="L857" t="s">
        <v>4139</v>
      </c>
    </row>
    <row r="858" spans="2:12" x14ac:dyDescent="0.25">
      <c r="B858" s="53" t="s">
        <v>4852</v>
      </c>
      <c r="C858" s="132" t="s">
        <v>4992</v>
      </c>
      <c r="D858" s="7" t="s">
        <v>4133</v>
      </c>
      <c r="E858" s="7" t="s">
        <v>4116</v>
      </c>
      <c r="F858" s="7" t="s">
        <v>4406</v>
      </c>
      <c r="G858" s="7" t="s">
        <v>5002</v>
      </c>
      <c r="J858" s="131">
        <v>13139</v>
      </c>
      <c r="K858" s="34">
        <f t="shared" si="18"/>
        <v>7830.8440000000001</v>
      </c>
      <c r="L858" t="s">
        <v>4139</v>
      </c>
    </row>
    <row r="859" spans="2:12" x14ac:dyDescent="0.25">
      <c r="B859" s="53" t="s">
        <v>4853</v>
      </c>
      <c r="C859" s="132" t="s">
        <v>4992</v>
      </c>
      <c r="D859" s="7" t="s">
        <v>4134</v>
      </c>
      <c r="E859" s="7" t="s">
        <v>4116</v>
      </c>
      <c r="F859" s="7" t="s">
        <v>4407</v>
      </c>
      <c r="G859" s="7" t="s">
        <v>5002</v>
      </c>
      <c r="J859" s="131">
        <v>13139</v>
      </c>
      <c r="K859" s="34">
        <f t="shared" si="18"/>
        <v>7830.8440000000001</v>
      </c>
      <c r="L859" t="s">
        <v>4139</v>
      </c>
    </row>
    <row r="860" spans="2:12" x14ac:dyDescent="0.25">
      <c r="B860" s="53" t="s">
        <v>4854</v>
      </c>
      <c r="C860" s="132" t="s">
        <v>4992</v>
      </c>
      <c r="D860" s="7" t="s">
        <v>4135</v>
      </c>
      <c r="E860" s="7" t="s">
        <v>4116</v>
      </c>
      <c r="F860" s="7" t="s">
        <v>4408</v>
      </c>
      <c r="G860" s="7" t="s">
        <v>5002</v>
      </c>
      <c r="J860" s="131">
        <v>15740</v>
      </c>
      <c r="K860" s="34">
        <f t="shared" si="18"/>
        <v>9381.0399999999991</v>
      </c>
      <c r="L860" t="s">
        <v>4139</v>
      </c>
    </row>
    <row r="861" spans="2:12" x14ac:dyDescent="0.25">
      <c r="B861" s="53" t="s">
        <v>4855</v>
      </c>
      <c r="C861" s="132" t="s">
        <v>4992</v>
      </c>
      <c r="D861" s="7" t="s">
        <v>4136</v>
      </c>
      <c r="E861" s="7" t="s">
        <v>4116</v>
      </c>
      <c r="F861" s="7" t="s">
        <v>4409</v>
      </c>
      <c r="G861" s="7" t="s">
        <v>5002</v>
      </c>
      <c r="J861" s="131">
        <v>15740</v>
      </c>
      <c r="K861" s="34">
        <f t="shared" si="18"/>
        <v>9381.0399999999991</v>
      </c>
      <c r="L861" t="s">
        <v>4139</v>
      </c>
    </row>
    <row r="862" spans="2:12" x14ac:dyDescent="0.25">
      <c r="B862" s="53" t="s">
        <v>4856</v>
      </c>
      <c r="C862" s="132" t="s">
        <v>4992</v>
      </c>
      <c r="D862" s="7" t="s">
        <v>4137</v>
      </c>
      <c r="E862" s="7" t="s">
        <v>4116</v>
      </c>
      <c r="F862" s="7" t="s">
        <v>4410</v>
      </c>
      <c r="G862" s="7" t="s">
        <v>5002</v>
      </c>
      <c r="J862" s="131">
        <v>15740</v>
      </c>
      <c r="K862" s="34">
        <f t="shared" si="18"/>
        <v>9381.0399999999991</v>
      </c>
      <c r="L862" t="s">
        <v>4139</v>
      </c>
    </row>
    <row r="863" spans="2:12" x14ac:dyDescent="0.25">
      <c r="B863" s="53" t="s">
        <v>4857</v>
      </c>
      <c r="C863" s="132" t="s">
        <v>4992</v>
      </c>
      <c r="D863" s="7" t="s">
        <v>687</v>
      </c>
      <c r="E863" s="7" t="s">
        <v>4116</v>
      </c>
      <c r="F863" s="7" t="s">
        <v>4411</v>
      </c>
      <c r="G863" s="7" t="s">
        <v>5002</v>
      </c>
      <c r="J863" s="131">
        <v>15740</v>
      </c>
      <c r="K863" s="34">
        <f t="shared" si="18"/>
        <v>9381.0399999999991</v>
      </c>
      <c r="L863" t="s">
        <v>4139</v>
      </c>
    </row>
    <row r="864" spans="2:12" x14ac:dyDescent="0.25">
      <c r="B864" s="53" t="s">
        <v>4858</v>
      </c>
      <c r="C864" s="132" t="s">
        <v>4993</v>
      </c>
      <c r="D864" s="7" t="s">
        <v>124</v>
      </c>
      <c r="E864" s="7" t="s">
        <v>4116</v>
      </c>
      <c r="F864" s="2" t="s">
        <v>4368</v>
      </c>
      <c r="G864" s="7" t="s">
        <v>5002</v>
      </c>
      <c r="J864" s="131">
        <v>12759</v>
      </c>
      <c r="K864" s="34">
        <f t="shared" si="18"/>
        <v>7604.3639999999996</v>
      </c>
      <c r="L864" t="s">
        <v>4139</v>
      </c>
    </row>
    <row r="865" spans="2:12" x14ac:dyDescent="0.25">
      <c r="B865" s="53" t="s">
        <v>4859</v>
      </c>
      <c r="C865" s="132" t="s">
        <v>4993</v>
      </c>
      <c r="D865" s="7" t="s">
        <v>125</v>
      </c>
      <c r="E865" s="7" t="s">
        <v>4116</v>
      </c>
      <c r="F865" s="7" t="s">
        <v>4369</v>
      </c>
      <c r="G865" s="7" t="s">
        <v>5002</v>
      </c>
      <c r="J865" s="131">
        <v>12759</v>
      </c>
      <c r="K865" s="34">
        <f t="shared" si="18"/>
        <v>7604.3639999999996</v>
      </c>
      <c r="L865" t="s">
        <v>4139</v>
      </c>
    </row>
    <row r="866" spans="2:12" x14ac:dyDescent="0.25">
      <c r="B866" s="53" t="s">
        <v>4860</v>
      </c>
      <c r="C866" s="132" t="s">
        <v>4993</v>
      </c>
      <c r="D866" s="7" t="s">
        <v>126</v>
      </c>
      <c r="E866" s="7" t="s">
        <v>4116</v>
      </c>
      <c r="F866" s="7" t="s">
        <v>4370</v>
      </c>
      <c r="G866" s="7" t="s">
        <v>5002</v>
      </c>
      <c r="J866" s="131">
        <v>12759</v>
      </c>
      <c r="K866" s="34">
        <f t="shared" si="18"/>
        <v>7604.3639999999996</v>
      </c>
      <c r="L866" t="s">
        <v>4139</v>
      </c>
    </row>
    <row r="867" spans="2:12" x14ac:dyDescent="0.25">
      <c r="B867" s="53" t="s">
        <v>4861</v>
      </c>
      <c r="C867" s="132" t="s">
        <v>4993</v>
      </c>
      <c r="D867" s="7" t="s">
        <v>127</v>
      </c>
      <c r="E867" s="7" t="s">
        <v>4116</v>
      </c>
      <c r="F867" s="7" t="s">
        <v>4371</v>
      </c>
      <c r="G867" s="7" t="s">
        <v>5002</v>
      </c>
      <c r="J867" s="131">
        <v>13139</v>
      </c>
      <c r="K867" s="34">
        <f t="shared" si="18"/>
        <v>7830.8440000000001</v>
      </c>
      <c r="L867" t="s">
        <v>4139</v>
      </c>
    </row>
    <row r="868" spans="2:12" x14ac:dyDescent="0.25">
      <c r="B868" s="53" t="s">
        <v>4862</v>
      </c>
      <c r="C868" s="132" t="s">
        <v>4993</v>
      </c>
      <c r="D868" s="7" t="s">
        <v>128</v>
      </c>
      <c r="E868" s="7" t="s">
        <v>4116</v>
      </c>
      <c r="F868" s="7" t="s">
        <v>4372</v>
      </c>
      <c r="G868" s="7" t="s">
        <v>5002</v>
      </c>
      <c r="J868" s="131">
        <v>13139</v>
      </c>
      <c r="K868" s="34">
        <f t="shared" si="18"/>
        <v>7830.8440000000001</v>
      </c>
      <c r="L868" t="s">
        <v>4139</v>
      </c>
    </row>
    <row r="869" spans="2:12" x14ac:dyDescent="0.25">
      <c r="B869" s="53" t="s">
        <v>4863</v>
      </c>
      <c r="C869" s="132" t="s">
        <v>4993</v>
      </c>
      <c r="D869" s="7" t="s">
        <v>129</v>
      </c>
      <c r="E869" s="7" t="s">
        <v>4116</v>
      </c>
      <c r="F869" s="7" t="s">
        <v>4373</v>
      </c>
      <c r="G869" s="7" t="s">
        <v>5002</v>
      </c>
      <c r="J869" s="131">
        <v>13139</v>
      </c>
      <c r="K869" s="34">
        <f t="shared" si="18"/>
        <v>7830.8440000000001</v>
      </c>
      <c r="L869" t="s">
        <v>4139</v>
      </c>
    </row>
    <row r="870" spans="2:12" x14ac:dyDescent="0.25">
      <c r="B870" s="53" t="s">
        <v>4864</v>
      </c>
      <c r="C870" s="132" t="s">
        <v>4993</v>
      </c>
      <c r="D870" s="7" t="s">
        <v>130</v>
      </c>
      <c r="E870" s="7" t="s">
        <v>4116</v>
      </c>
      <c r="F870" s="7" t="s">
        <v>4374</v>
      </c>
      <c r="G870" s="7" t="s">
        <v>5002</v>
      </c>
      <c r="J870" s="131">
        <v>13139</v>
      </c>
      <c r="K870" s="34">
        <f t="shared" si="18"/>
        <v>7830.8440000000001</v>
      </c>
      <c r="L870" t="s">
        <v>4139</v>
      </c>
    </row>
    <row r="871" spans="2:12" x14ac:dyDescent="0.25">
      <c r="B871" s="53" t="s">
        <v>4865</v>
      </c>
      <c r="C871" s="132" t="s">
        <v>4993</v>
      </c>
      <c r="D871" s="7" t="s">
        <v>142</v>
      </c>
      <c r="E871" s="7" t="s">
        <v>4116</v>
      </c>
      <c r="F871" s="7" t="s">
        <v>4375</v>
      </c>
      <c r="G871" s="7" t="s">
        <v>5002</v>
      </c>
      <c r="J871" s="131">
        <v>15740</v>
      </c>
      <c r="K871" s="34">
        <f t="shared" si="18"/>
        <v>9381.0399999999991</v>
      </c>
      <c r="L871" t="s">
        <v>4139</v>
      </c>
    </row>
    <row r="872" spans="2:12" x14ac:dyDescent="0.25">
      <c r="B872" s="53" t="s">
        <v>4866</v>
      </c>
      <c r="C872" s="132" t="s">
        <v>4993</v>
      </c>
      <c r="D872" s="7" t="s">
        <v>143</v>
      </c>
      <c r="E872" s="7" t="s">
        <v>4116</v>
      </c>
      <c r="F872" s="7" t="s">
        <v>4376</v>
      </c>
      <c r="G872" s="7" t="s">
        <v>5002</v>
      </c>
      <c r="J872" s="131">
        <v>15740</v>
      </c>
      <c r="K872" s="34">
        <f t="shared" si="18"/>
        <v>9381.0399999999991</v>
      </c>
      <c r="L872" t="s">
        <v>4139</v>
      </c>
    </row>
    <row r="873" spans="2:12" x14ac:dyDescent="0.25">
      <c r="B873" s="53" t="s">
        <v>4867</v>
      </c>
      <c r="C873" s="132" t="s">
        <v>4993</v>
      </c>
      <c r="D873" s="7" t="s">
        <v>144</v>
      </c>
      <c r="E873" s="7" t="s">
        <v>4116</v>
      </c>
      <c r="F873" s="7" t="s">
        <v>4377</v>
      </c>
      <c r="G873" s="7" t="s">
        <v>5002</v>
      </c>
      <c r="J873" s="131">
        <v>15740</v>
      </c>
      <c r="K873" s="34">
        <f t="shared" si="18"/>
        <v>9381.0399999999991</v>
      </c>
      <c r="L873" t="s">
        <v>4139</v>
      </c>
    </row>
    <row r="874" spans="2:12" x14ac:dyDescent="0.25">
      <c r="B874" s="53" t="s">
        <v>4868</v>
      </c>
      <c r="C874" s="132" t="s">
        <v>4993</v>
      </c>
      <c r="D874" s="7" t="s">
        <v>145</v>
      </c>
      <c r="E874" s="7" t="s">
        <v>4116</v>
      </c>
      <c r="F874" s="7" t="s">
        <v>4378</v>
      </c>
      <c r="G874" s="7" t="s">
        <v>5002</v>
      </c>
      <c r="J874" s="131">
        <v>15740</v>
      </c>
      <c r="K874" s="34">
        <f t="shared" si="18"/>
        <v>9381.0399999999991</v>
      </c>
      <c r="L874" t="s">
        <v>4139</v>
      </c>
    </row>
    <row r="875" spans="2:12" x14ac:dyDescent="0.25">
      <c r="B875" s="53" t="s">
        <v>4869</v>
      </c>
      <c r="C875" s="132" t="s">
        <v>4993</v>
      </c>
      <c r="D875" s="7" t="s">
        <v>131</v>
      </c>
      <c r="E875" s="7" t="s">
        <v>4116</v>
      </c>
      <c r="F875" s="7" t="s">
        <v>4379</v>
      </c>
      <c r="G875" s="7" t="s">
        <v>5002</v>
      </c>
      <c r="J875" s="131">
        <v>12759</v>
      </c>
      <c r="K875" s="34">
        <f t="shared" si="18"/>
        <v>7604.3639999999996</v>
      </c>
      <c r="L875" t="s">
        <v>4139</v>
      </c>
    </row>
    <row r="876" spans="2:12" x14ac:dyDescent="0.25">
      <c r="B876" s="53" t="s">
        <v>4870</v>
      </c>
      <c r="C876" s="132" t="s">
        <v>4993</v>
      </c>
      <c r="D876" s="7" t="s">
        <v>132</v>
      </c>
      <c r="E876" s="7" t="s">
        <v>4116</v>
      </c>
      <c r="F876" s="7" t="s">
        <v>4380</v>
      </c>
      <c r="G876" s="7" t="s">
        <v>5002</v>
      </c>
      <c r="J876" s="131">
        <v>12759</v>
      </c>
      <c r="K876" s="34">
        <f t="shared" si="18"/>
        <v>7604.3639999999996</v>
      </c>
      <c r="L876" t="s">
        <v>4139</v>
      </c>
    </row>
    <row r="877" spans="2:12" x14ac:dyDescent="0.25">
      <c r="B877" s="53" t="s">
        <v>4871</v>
      </c>
      <c r="C877" s="132" t="s">
        <v>4993</v>
      </c>
      <c r="D877" s="7" t="s">
        <v>133</v>
      </c>
      <c r="E877" s="7" t="s">
        <v>4116</v>
      </c>
      <c r="F877" s="7" t="s">
        <v>4381</v>
      </c>
      <c r="G877" s="7" t="s">
        <v>5002</v>
      </c>
      <c r="J877" s="131">
        <v>12759</v>
      </c>
      <c r="K877" s="34">
        <f t="shared" si="18"/>
        <v>7604.3639999999996</v>
      </c>
      <c r="L877" t="s">
        <v>4139</v>
      </c>
    </row>
    <row r="878" spans="2:12" x14ac:dyDescent="0.25">
      <c r="B878" s="53" t="s">
        <v>4872</v>
      </c>
      <c r="C878" s="132" t="s">
        <v>4993</v>
      </c>
      <c r="D878" s="7" t="s">
        <v>134</v>
      </c>
      <c r="E878" s="7" t="s">
        <v>4116</v>
      </c>
      <c r="F878" s="7" t="s">
        <v>4382</v>
      </c>
      <c r="G878" s="7" t="s">
        <v>5002</v>
      </c>
      <c r="J878" s="131">
        <v>13139</v>
      </c>
      <c r="K878" s="34">
        <f t="shared" si="18"/>
        <v>7830.8440000000001</v>
      </c>
      <c r="L878" t="s">
        <v>4139</v>
      </c>
    </row>
    <row r="879" spans="2:12" x14ac:dyDescent="0.25">
      <c r="B879" s="53" t="s">
        <v>4873</v>
      </c>
      <c r="C879" s="132" t="s">
        <v>4993</v>
      </c>
      <c r="D879" s="7" t="s">
        <v>135</v>
      </c>
      <c r="E879" s="7" t="s">
        <v>4116</v>
      </c>
      <c r="F879" s="7" t="s">
        <v>4383</v>
      </c>
      <c r="G879" s="7" t="s">
        <v>5002</v>
      </c>
      <c r="J879" s="131">
        <v>13139</v>
      </c>
      <c r="K879" s="34">
        <f t="shared" si="18"/>
        <v>7830.8440000000001</v>
      </c>
      <c r="L879" t="s">
        <v>4139</v>
      </c>
    </row>
    <row r="880" spans="2:12" x14ac:dyDescent="0.25">
      <c r="B880" s="53" t="s">
        <v>4874</v>
      </c>
      <c r="C880" s="132" t="s">
        <v>4993</v>
      </c>
      <c r="D880" s="7" t="s">
        <v>136</v>
      </c>
      <c r="E880" s="7" t="s">
        <v>4116</v>
      </c>
      <c r="F880" s="7" t="s">
        <v>4384</v>
      </c>
      <c r="G880" s="7" t="s">
        <v>5002</v>
      </c>
      <c r="J880" s="131">
        <v>13139</v>
      </c>
      <c r="K880" s="34">
        <f t="shared" si="18"/>
        <v>7830.8440000000001</v>
      </c>
      <c r="L880" t="s">
        <v>4139</v>
      </c>
    </row>
    <row r="881" spans="2:12" x14ac:dyDescent="0.25">
      <c r="B881" s="53" t="s">
        <v>4875</v>
      </c>
      <c r="C881" s="132" t="s">
        <v>4993</v>
      </c>
      <c r="D881" s="7" t="s">
        <v>137</v>
      </c>
      <c r="E881" s="7" t="s">
        <v>4116</v>
      </c>
      <c r="F881" s="7" t="s">
        <v>4385</v>
      </c>
      <c r="G881" s="7" t="s">
        <v>5002</v>
      </c>
      <c r="J881" s="131">
        <v>13139</v>
      </c>
      <c r="K881" s="34">
        <f t="shared" si="18"/>
        <v>7830.8440000000001</v>
      </c>
      <c r="L881" t="s">
        <v>4139</v>
      </c>
    </row>
    <row r="882" spans="2:12" x14ac:dyDescent="0.25">
      <c r="B882" s="53" t="s">
        <v>4876</v>
      </c>
      <c r="C882" s="132" t="s">
        <v>4993</v>
      </c>
      <c r="D882" s="7" t="s">
        <v>146</v>
      </c>
      <c r="E882" s="7" t="s">
        <v>4116</v>
      </c>
      <c r="F882" s="7" t="s">
        <v>4386</v>
      </c>
      <c r="G882" s="7" t="s">
        <v>5002</v>
      </c>
      <c r="J882" s="131">
        <v>15740</v>
      </c>
      <c r="K882" s="34">
        <f t="shared" si="18"/>
        <v>9381.0399999999991</v>
      </c>
      <c r="L882" t="s">
        <v>4139</v>
      </c>
    </row>
    <row r="883" spans="2:12" x14ac:dyDescent="0.25">
      <c r="B883" s="53" t="s">
        <v>4877</v>
      </c>
      <c r="C883" s="132" t="s">
        <v>4993</v>
      </c>
      <c r="D883" s="7" t="s">
        <v>156</v>
      </c>
      <c r="E883" s="7" t="s">
        <v>4116</v>
      </c>
      <c r="F883" s="7" t="s">
        <v>4387</v>
      </c>
      <c r="G883" s="7" t="s">
        <v>5002</v>
      </c>
      <c r="J883" s="131">
        <v>15740</v>
      </c>
      <c r="K883" s="34">
        <f t="shared" si="18"/>
        <v>9381.0399999999991</v>
      </c>
      <c r="L883" t="s">
        <v>4139</v>
      </c>
    </row>
    <row r="884" spans="2:12" x14ac:dyDescent="0.25">
      <c r="B884" s="53" t="s">
        <v>4878</v>
      </c>
      <c r="C884" s="132" t="s">
        <v>4993</v>
      </c>
      <c r="D884" s="7" t="s">
        <v>148</v>
      </c>
      <c r="E884" s="7" t="s">
        <v>4116</v>
      </c>
      <c r="F884" s="7" t="s">
        <v>4388</v>
      </c>
      <c r="G884" s="7" t="s">
        <v>5002</v>
      </c>
      <c r="J884" s="131">
        <v>15740</v>
      </c>
      <c r="K884" s="34">
        <f t="shared" si="18"/>
        <v>9381.0399999999991</v>
      </c>
      <c r="L884" t="s">
        <v>4139</v>
      </c>
    </row>
    <row r="885" spans="2:12" x14ac:dyDescent="0.25">
      <c r="B885" s="53" t="s">
        <v>4879</v>
      </c>
      <c r="C885" s="132" t="s">
        <v>4993</v>
      </c>
      <c r="D885" s="7" t="s">
        <v>149</v>
      </c>
      <c r="E885" s="7" t="s">
        <v>4116</v>
      </c>
      <c r="F885" s="7" t="s">
        <v>4389</v>
      </c>
      <c r="G885" s="7" t="s">
        <v>5002</v>
      </c>
      <c r="J885" s="131">
        <v>15740</v>
      </c>
      <c r="K885" s="34">
        <f t="shared" si="18"/>
        <v>9381.0399999999991</v>
      </c>
      <c r="L885" t="s">
        <v>4139</v>
      </c>
    </row>
    <row r="886" spans="2:12" x14ac:dyDescent="0.25">
      <c r="B886" s="53" t="s">
        <v>4880</v>
      </c>
      <c r="C886" s="132" t="s">
        <v>4993</v>
      </c>
      <c r="D886" s="7" t="s">
        <v>4118</v>
      </c>
      <c r="E886" s="7" t="s">
        <v>4116</v>
      </c>
      <c r="F886" s="7" t="s">
        <v>4390</v>
      </c>
      <c r="G886" s="7" t="s">
        <v>5002</v>
      </c>
      <c r="J886" s="131">
        <v>12759</v>
      </c>
      <c r="K886" s="34">
        <f t="shared" si="18"/>
        <v>7604.3639999999996</v>
      </c>
      <c r="L886" t="s">
        <v>4139</v>
      </c>
    </row>
    <row r="887" spans="2:12" x14ac:dyDescent="0.25">
      <c r="B887" s="53" t="s">
        <v>4881</v>
      </c>
      <c r="C887" s="132" t="s">
        <v>4993</v>
      </c>
      <c r="D887" s="7" t="s">
        <v>4119</v>
      </c>
      <c r="E887" s="7" t="s">
        <v>4116</v>
      </c>
      <c r="F887" s="7" t="s">
        <v>4391</v>
      </c>
      <c r="G887" s="7" t="s">
        <v>5002</v>
      </c>
      <c r="J887" s="131">
        <v>12759</v>
      </c>
      <c r="K887" s="34">
        <f t="shared" si="18"/>
        <v>7604.3639999999996</v>
      </c>
      <c r="L887" t="s">
        <v>4139</v>
      </c>
    </row>
    <row r="888" spans="2:12" x14ac:dyDescent="0.25">
      <c r="B888" s="53" t="s">
        <v>4882</v>
      </c>
      <c r="C888" s="132" t="s">
        <v>4993</v>
      </c>
      <c r="D888" s="7" t="s">
        <v>4120</v>
      </c>
      <c r="E888" s="7" t="s">
        <v>4116</v>
      </c>
      <c r="F888" s="7" t="s">
        <v>4392</v>
      </c>
      <c r="G888" s="7" t="s">
        <v>5002</v>
      </c>
      <c r="J888" s="131">
        <v>12759</v>
      </c>
      <c r="K888" s="34">
        <f t="shared" si="18"/>
        <v>7604.3639999999996</v>
      </c>
      <c r="L888" t="s">
        <v>4139</v>
      </c>
    </row>
    <row r="889" spans="2:12" x14ac:dyDescent="0.25">
      <c r="B889" s="53" t="s">
        <v>4883</v>
      </c>
      <c r="C889" s="132" t="s">
        <v>4993</v>
      </c>
      <c r="D889" s="7" t="s">
        <v>4121</v>
      </c>
      <c r="E889" s="7" t="s">
        <v>4116</v>
      </c>
      <c r="F889" s="7" t="s">
        <v>4393</v>
      </c>
      <c r="G889" s="7" t="s">
        <v>5002</v>
      </c>
      <c r="J889" s="131">
        <v>13139</v>
      </c>
      <c r="K889" s="34">
        <f t="shared" si="18"/>
        <v>7830.8440000000001</v>
      </c>
      <c r="L889" t="s">
        <v>4139</v>
      </c>
    </row>
    <row r="890" spans="2:12" x14ac:dyDescent="0.25">
      <c r="B890" s="53" t="s">
        <v>4884</v>
      </c>
      <c r="C890" s="132" t="s">
        <v>4993</v>
      </c>
      <c r="D890" s="7" t="s">
        <v>4122</v>
      </c>
      <c r="E890" s="7" t="s">
        <v>4116</v>
      </c>
      <c r="F890" s="7" t="s">
        <v>4394</v>
      </c>
      <c r="G890" s="7" t="s">
        <v>5002</v>
      </c>
      <c r="J890" s="131">
        <v>13139</v>
      </c>
      <c r="K890" s="34">
        <f t="shared" si="18"/>
        <v>7830.8440000000001</v>
      </c>
      <c r="L890" t="s">
        <v>4139</v>
      </c>
    </row>
    <row r="891" spans="2:12" x14ac:dyDescent="0.25">
      <c r="B891" s="53" t="s">
        <v>4885</v>
      </c>
      <c r="C891" s="132" t="s">
        <v>4993</v>
      </c>
      <c r="D891" s="7" t="s">
        <v>4123</v>
      </c>
      <c r="E891" s="7" t="s">
        <v>4116</v>
      </c>
      <c r="F891" s="7" t="s">
        <v>4395</v>
      </c>
      <c r="G891" s="7" t="s">
        <v>5002</v>
      </c>
      <c r="J891" s="131">
        <v>13139</v>
      </c>
      <c r="K891" s="34">
        <f t="shared" si="18"/>
        <v>7830.8440000000001</v>
      </c>
      <c r="L891" t="s">
        <v>4139</v>
      </c>
    </row>
    <row r="892" spans="2:12" x14ac:dyDescent="0.25">
      <c r="B892" s="53" t="s">
        <v>4886</v>
      </c>
      <c r="C892" s="132" t="s">
        <v>4993</v>
      </c>
      <c r="D892" s="7" t="s">
        <v>4124</v>
      </c>
      <c r="E892" s="7" t="s">
        <v>4116</v>
      </c>
      <c r="F892" s="7" t="s">
        <v>4396</v>
      </c>
      <c r="G892" s="7" t="s">
        <v>5002</v>
      </c>
      <c r="J892" s="131">
        <v>13139</v>
      </c>
      <c r="K892" s="34">
        <f t="shared" si="18"/>
        <v>7830.8440000000001</v>
      </c>
      <c r="L892" t="s">
        <v>4139</v>
      </c>
    </row>
    <row r="893" spans="2:12" x14ac:dyDescent="0.25">
      <c r="B893" s="53" t="s">
        <v>4887</v>
      </c>
      <c r="C893" s="132" t="s">
        <v>4993</v>
      </c>
      <c r="D893" s="7" t="s">
        <v>4125</v>
      </c>
      <c r="E893" s="7" t="s">
        <v>4116</v>
      </c>
      <c r="F893" s="7" t="s">
        <v>4397</v>
      </c>
      <c r="G893" s="7" t="s">
        <v>5002</v>
      </c>
      <c r="J893" s="131">
        <v>15740</v>
      </c>
      <c r="K893" s="34">
        <f t="shared" si="18"/>
        <v>9381.0399999999991</v>
      </c>
      <c r="L893" t="s">
        <v>4139</v>
      </c>
    </row>
    <row r="894" spans="2:12" x14ac:dyDescent="0.25">
      <c r="B894" s="53" t="s">
        <v>4888</v>
      </c>
      <c r="C894" s="132" t="s">
        <v>4993</v>
      </c>
      <c r="D894" s="7" t="s">
        <v>4126</v>
      </c>
      <c r="E894" s="7" t="s">
        <v>4116</v>
      </c>
      <c r="F894" s="7" t="s">
        <v>4398</v>
      </c>
      <c r="G894" s="7" t="s">
        <v>5002</v>
      </c>
      <c r="J894" s="131">
        <v>15740</v>
      </c>
      <c r="K894" s="34">
        <f t="shared" si="18"/>
        <v>9381.0399999999991</v>
      </c>
      <c r="L894" t="s">
        <v>4139</v>
      </c>
    </row>
    <row r="895" spans="2:12" x14ac:dyDescent="0.25">
      <c r="B895" s="53" t="s">
        <v>4889</v>
      </c>
      <c r="C895" s="132" t="s">
        <v>4993</v>
      </c>
      <c r="D895" s="7" t="s">
        <v>4127</v>
      </c>
      <c r="E895" s="7" t="s">
        <v>4116</v>
      </c>
      <c r="F895" s="7" t="s">
        <v>4399</v>
      </c>
      <c r="G895" s="7" t="s">
        <v>5002</v>
      </c>
      <c r="J895" s="131">
        <v>15740</v>
      </c>
      <c r="K895" s="34">
        <f t="shared" ref="K895:K958" si="19">J895*0.596</f>
        <v>9381.0399999999991</v>
      </c>
      <c r="L895" t="s">
        <v>4139</v>
      </c>
    </row>
    <row r="896" spans="2:12" x14ac:dyDescent="0.25">
      <c r="B896" s="53" t="s">
        <v>4890</v>
      </c>
      <c r="C896" s="132" t="s">
        <v>4993</v>
      </c>
      <c r="D896" s="7" t="s">
        <v>674</v>
      </c>
      <c r="E896" s="7" t="s">
        <v>4116</v>
      </c>
      <c r="F896" s="7" t="s">
        <v>4400</v>
      </c>
      <c r="G896" s="7" t="s">
        <v>5002</v>
      </c>
      <c r="J896" s="131">
        <v>15740</v>
      </c>
      <c r="K896" s="34">
        <f t="shared" si="19"/>
        <v>9381.0399999999991</v>
      </c>
      <c r="L896" t="s">
        <v>4139</v>
      </c>
    </row>
    <row r="897" spans="1:12" x14ac:dyDescent="0.25">
      <c r="B897" s="53" t="s">
        <v>4891</v>
      </c>
      <c r="C897" s="132" t="s">
        <v>4993</v>
      </c>
      <c r="D897" s="7" t="s">
        <v>4128</v>
      </c>
      <c r="E897" s="7" t="s">
        <v>4116</v>
      </c>
      <c r="F897" s="7" t="s">
        <v>4401</v>
      </c>
      <c r="G897" s="7" t="s">
        <v>5002</v>
      </c>
      <c r="J897" s="131">
        <v>12759</v>
      </c>
      <c r="K897" s="34">
        <f t="shared" si="19"/>
        <v>7604.3639999999996</v>
      </c>
      <c r="L897" t="s">
        <v>4139</v>
      </c>
    </row>
    <row r="898" spans="1:12" x14ac:dyDescent="0.25">
      <c r="B898" s="53" t="s">
        <v>4892</v>
      </c>
      <c r="C898" s="132" t="s">
        <v>4993</v>
      </c>
      <c r="D898" s="7" t="s">
        <v>4129</v>
      </c>
      <c r="E898" s="7" t="s">
        <v>4116</v>
      </c>
      <c r="F898" s="7" t="s">
        <v>4402</v>
      </c>
      <c r="G898" s="7" t="s">
        <v>5002</v>
      </c>
      <c r="J898" s="131">
        <v>12759</v>
      </c>
      <c r="K898" s="34">
        <f t="shared" si="19"/>
        <v>7604.3639999999996</v>
      </c>
      <c r="L898" t="s">
        <v>4139</v>
      </c>
    </row>
    <row r="899" spans="1:12" x14ac:dyDescent="0.25">
      <c r="B899" s="53" t="s">
        <v>4893</v>
      </c>
      <c r="C899" s="132" t="s">
        <v>4993</v>
      </c>
      <c r="D899" s="7" t="s">
        <v>4130</v>
      </c>
      <c r="E899" s="7" t="s">
        <v>4116</v>
      </c>
      <c r="F899" s="7" t="s">
        <v>4403</v>
      </c>
      <c r="G899" s="7" t="s">
        <v>5002</v>
      </c>
      <c r="J899" s="131">
        <v>12759</v>
      </c>
      <c r="K899" s="34">
        <f t="shared" si="19"/>
        <v>7604.3639999999996</v>
      </c>
      <c r="L899" t="s">
        <v>4139</v>
      </c>
    </row>
    <row r="900" spans="1:12" x14ac:dyDescent="0.25">
      <c r="B900" s="53" t="s">
        <v>4894</v>
      </c>
      <c r="C900" s="132" t="s">
        <v>4993</v>
      </c>
      <c r="D900" s="7" t="s">
        <v>4131</v>
      </c>
      <c r="E900" s="7" t="s">
        <v>4116</v>
      </c>
      <c r="F900" s="7" t="s">
        <v>4404</v>
      </c>
      <c r="G900" s="7" t="s">
        <v>5002</v>
      </c>
      <c r="J900" s="131">
        <v>13139</v>
      </c>
      <c r="K900" s="34">
        <f t="shared" si="19"/>
        <v>7830.8440000000001</v>
      </c>
      <c r="L900" t="s">
        <v>4139</v>
      </c>
    </row>
    <row r="901" spans="1:12" x14ac:dyDescent="0.25">
      <c r="B901" s="53" t="s">
        <v>4895</v>
      </c>
      <c r="C901" s="132" t="s">
        <v>4993</v>
      </c>
      <c r="D901" s="7" t="s">
        <v>4132</v>
      </c>
      <c r="E901" s="7" t="s">
        <v>4116</v>
      </c>
      <c r="F901" s="7" t="s">
        <v>4405</v>
      </c>
      <c r="G901" s="7" t="s">
        <v>5002</v>
      </c>
      <c r="J901" s="131">
        <v>13139</v>
      </c>
      <c r="K901" s="34">
        <f t="shared" si="19"/>
        <v>7830.8440000000001</v>
      </c>
      <c r="L901" t="s">
        <v>4139</v>
      </c>
    </row>
    <row r="902" spans="1:12" x14ac:dyDescent="0.25">
      <c r="B902" s="53" t="s">
        <v>4896</v>
      </c>
      <c r="C902" s="132" t="s">
        <v>4993</v>
      </c>
      <c r="D902" s="7" t="s">
        <v>4133</v>
      </c>
      <c r="E902" s="7" t="s">
        <v>4116</v>
      </c>
      <c r="F902" s="7" t="s">
        <v>4406</v>
      </c>
      <c r="G902" s="7" t="s">
        <v>5002</v>
      </c>
      <c r="J902" s="131">
        <v>13139</v>
      </c>
      <c r="K902" s="34">
        <f t="shared" si="19"/>
        <v>7830.8440000000001</v>
      </c>
      <c r="L902" t="s">
        <v>4139</v>
      </c>
    </row>
    <row r="903" spans="1:12" x14ac:dyDescent="0.25">
      <c r="B903" s="53" t="s">
        <v>4897</v>
      </c>
      <c r="C903" s="132" t="s">
        <v>4993</v>
      </c>
      <c r="D903" s="7" t="s">
        <v>4134</v>
      </c>
      <c r="E903" s="7" t="s">
        <v>4116</v>
      </c>
      <c r="F903" s="7" t="s">
        <v>4407</v>
      </c>
      <c r="G903" s="7" t="s">
        <v>5002</v>
      </c>
      <c r="J903" s="131">
        <v>13139</v>
      </c>
      <c r="K903" s="34">
        <f t="shared" si="19"/>
        <v>7830.8440000000001</v>
      </c>
      <c r="L903" t="s">
        <v>4139</v>
      </c>
    </row>
    <row r="904" spans="1:12" x14ac:dyDescent="0.25">
      <c r="B904" s="53" t="s">
        <v>4898</v>
      </c>
      <c r="C904" s="132" t="s">
        <v>4993</v>
      </c>
      <c r="D904" s="7" t="s">
        <v>4135</v>
      </c>
      <c r="E904" s="7" t="s">
        <v>4116</v>
      </c>
      <c r="F904" s="7" t="s">
        <v>4408</v>
      </c>
      <c r="G904" s="7" t="s">
        <v>5002</v>
      </c>
      <c r="J904" s="131">
        <v>15740</v>
      </c>
      <c r="K904" s="34">
        <f t="shared" si="19"/>
        <v>9381.0399999999991</v>
      </c>
      <c r="L904" t="s">
        <v>4139</v>
      </c>
    </row>
    <row r="905" spans="1:12" x14ac:dyDescent="0.25">
      <c r="B905" s="53" t="s">
        <v>4899</v>
      </c>
      <c r="C905" s="132" t="s">
        <v>4993</v>
      </c>
      <c r="D905" s="7" t="s">
        <v>4136</v>
      </c>
      <c r="E905" s="7" t="s">
        <v>4116</v>
      </c>
      <c r="F905" s="7" t="s">
        <v>4409</v>
      </c>
      <c r="G905" s="7" t="s">
        <v>5002</v>
      </c>
      <c r="J905" s="131">
        <v>15740</v>
      </c>
      <c r="K905" s="34">
        <f t="shared" si="19"/>
        <v>9381.0399999999991</v>
      </c>
      <c r="L905" t="s">
        <v>4139</v>
      </c>
    </row>
    <row r="906" spans="1:12" x14ac:dyDescent="0.25">
      <c r="B906" s="53" t="s">
        <v>4900</v>
      </c>
      <c r="C906" s="132" t="s">
        <v>4993</v>
      </c>
      <c r="D906" s="7" t="s">
        <v>4137</v>
      </c>
      <c r="E906" s="7" t="s">
        <v>4116</v>
      </c>
      <c r="F906" s="7" t="s">
        <v>4410</v>
      </c>
      <c r="G906" s="7" t="s">
        <v>5002</v>
      </c>
      <c r="J906" s="131">
        <v>15740</v>
      </c>
      <c r="K906" s="34">
        <f t="shared" si="19"/>
        <v>9381.0399999999991</v>
      </c>
      <c r="L906" t="s">
        <v>4139</v>
      </c>
    </row>
    <row r="907" spans="1:12" x14ac:dyDescent="0.25">
      <c r="B907" s="53" t="s">
        <v>4901</v>
      </c>
      <c r="C907" s="132" t="s">
        <v>4993</v>
      </c>
      <c r="D907" s="7" t="s">
        <v>687</v>
      </c>
      <c r="E907" s="7" t="s">
        <v>4116</v>
      </c>
      <c r="F907" s="7" t="s">
        <v>4411</v>
      </c>
      <c r="G907" s="7" t="s">
        <v>5002</v>
      </c>
      <c r="J907" s="131">
        <v>15740</v>
      </c>
      <c r="K907" s="34">
        <f t="shared" si="19"/>
        <v>9381.0399999999991</v>
      </c>
      <c r="L907" t="s">
        <v>4139</v>
      </c>
    </row>
    <row r="908" spans="1:12" s="62" customFormat="1" x14ac:dyDescent="0.25">
      <c r="A908" s="62" t="s">
        <v>4996</v>
      </c>
      <c r="B908" s="81" t="s">
        <v>4116</v>
      </c>
      <c r="J908" s="135"/>
      <c r="K908" s="65"/>
    </row>
    <row r="909" spans="1:12" x14ac:dyDescent="0.25">
      <c r="B909" s="53" t="s">
        <v>4902</v>
      </c>
      <c r="C909" s="132" t="s">
        <v>4994</v>
      </c>
      <c r="D909" s="7" t="s">
        <v>124</v>
      </c>
      <c r="E909" s="7" t="s">
        <v>4116</v>
      </c>
      <c r="F909" s="2" t="s">
        <v>4412</v>
      </c>
      <c r="G909" s="7" t="s">
        <v>5002</v>
      </c>
      <c r="J909" s="131">
        <v>12759</v>
      </c>
      <c r="K909" s="34">
        <f t="shared" si="19"/>
        <v>7604.3639999999996</v>
      </c>
      <c r="L909" t="s">
        <v>4139</v>
      </c>
    </row>
    <row r="910" spans="1:12" x14ac:dyDescent="0.25">
      <c r="B910" s="53" t="s">
        <v>4903</v>
      </c>
      <c r="C910" s="132" t="s">
        <v>4994</v>
      </c>
      <c r="D910" s="7" t="s">
        <v>125</v>
      </c>
      <c r="E910" s="7" t="s">
        <v>4116</v>
      </c>
      <c r="F910" s="7" t="s">
        <v>4413</v>
      </c>
      <c r="G910" s="7" t="s">
        <v>5002</v>
      </c>
      <c r="J910" s="131">
        <v>12759</v>
      </c>
      <c r="K910" s="34">
        <f t="shared" si="19"/>
        <v>7604.3639999999996</v>
      </c>
      <c r="L910" t="s">
        <v>4139</v>
      </c>
    </row>
    <row r="911" spans="1:12" x14ac:dyDescent="0.25">
      <c r="B911" s="53" t="s">
        <v>4904</v>
      </c>
      <c r="C911" s="132" t="s">
        <v>4994</v>
      </c>
      <c r="D911" s="7" t="s">
        <v>126</v>
      </c>
      <c r="E911" s="7" t="s">
        <v>4116</v>
      </c>
      <c r="F911" s="7" t="s">
        <v>4414</v>
      </c>
      <c r="G911" s="7" t="s">
        <v>5002</v>
      </c>
      <c r="J911" s="131">
        <v>12759</v>
      </c>
      <c r="K911" s="34">
        <f t="shared" si="19"/>
        <v>7604.3639999999996</v>
      </c>
      <c r="L911" t="s">
        <v>4139</v>
      </c>
    </row>
    <row r="912" spans="1:12" x14ac:dyDescent="0.25">
      <c r="B912" s="53" t="s">
        <v>4905</v>
      </c>
      <c r="C912" s="132" t="s">
        <v>4994</v>
      </c>
      <c r="D912" s="7" t="s">
        <v>127</v>
      </c>
      <c r="E912" s="7" t="s">
        <v>4116</v>
      </c>
      <c r="F912" s="7" t="s">
        <v>4415</v>
      </c>
      <c r="G912" s="7" t="s">
        <v>5002</v>
      </c>
      <c r="J912" s="131">
        <v>13139</v>
      </c>
      <c r="K912" s="34">
        <f t="shared" si="19"/>
        <v>7830.8440000000001</v>
      </c>
      <c r="L912" t="s">
        <v>4139</v>
      </c>
    </row>
    <row r="913" spans="2:12" x14ac:dyDescent="0.25">
      <c r="B913" s="53" t="s">
        <v>4906</v>
      </c>
      <c r="C913" s="132" t="s">
        <v>4994</v>
      </c>
      <c r="D913" s="7" t="s">
        <v>128</v>
      </c>
      <c r="E913" s="7" t="s">
        <v>4116</v>
      </c>
      <c r="F913" s="7" t="s">
        <v>4416</v>
      </c>
      <c r="G913" s="7" t="s">
        <v>5002</v>
      </c>
      <c r="J913" s="131">
        <v>13139</v>
      </c>
      <c r="K913" s="34">
        <f t="shared" si="19"/>
        <v>7830.8440000000001</v>
      </c>
      <c r="L913" t="s">
        <v>4139</v>
      </c>
    </row>
    <row r="914" spans="2:12" x14ac:dyDescent="0.25">
      <c r="B914" s="53" t="s">
        <v>4907</v>
      </c>
      <c r="C914" s="132" t="s">
        <v>4994</v>
      </c>
      <c r="D914" s="7" t="s">
        <v>129</v>
      </c>
      <c r="E914" s="7" t="s">
        <v>4116</v>
      </c>
      <c r="F914" s="7" t="s">
        <v>4417</v>
      </c>
      <c r="G914" s="7" t="s">
        <v>5002</v>
      </c>
      <c r="J914" s="131">
        <v>13139</v>
      </c>
      <c r="K914" s="34">
        <f t="shared" si="19"/>
        <v>7830.8440000000001</v>
      </c>
      <c r="L914" t="s">
        <v>4139</v>
      </c>
    </row>
    <row r="915" spans="2:12" x14ac:dyDescent="0.25">
      <c r="B915" s="53" t="s">
        <v>4908</v>
      </c>
      <c r="C915" s="132" t="s">
        <v>4994</v>
      </c>
      <c r="D915" s="7" t="s">
        <v>130</v>
      </c>
      <c r="E915" s="7" t="s">
        <v>4116</v>
      </c>
      <c r="F915" s="7" t="s">
        <v>4418</v>
      </c>
      <c r="G915" s="7" t="s">
        <v>5002</v>
      </c>
      <c r="J915" s="131">
        <v>13139</v>
      </c>
      <c r="K915" s="34">
        <f t="shared" si="19"/>
        <v>7830.8440000000001</v>
      </c>
      <c r="L915" t="s">
        <v>4139</v>
      </c>
    </row>
    <row r="916" spans="2:12" x14ac:dyDescent="0.25">
      <c r="B916" s="53" t="s">
        <v>4909</v>
      </c>
      <c r="C916" s="132" t="s">
        <v>4994</v>
      </c>
      <c r="D916" s="7" t="s">
        <v>142</v>
      </c>
      <c r="E916" s="7" t="s">
        <v>4116</v>
      </c>
      <c r="F916" s="7" t="s">
        <v>4419</v>
      </c>
      <c r="G916" s="7" t="s">
        <v>5002</v>
      </c>
      <c r="J916" s="131">
        <v>15740</v>
      </c>
      <c r="K916" s="34">
        <f t="shared" si="19"/>
        <v>9381.0399999999991</v>
      </c>
      <c r="L916" t="s">
        <v>4139</v>
      </c>
    </row>
    <row r="917" spans="2:12" x14ac:dyDescent="0.25">
      <c r="B917" s="53" t="s">
        <v>4910</v>
      </c>
      <c r="C917" s="132" t="s">
        <v>4994</v>
      </c>
      <c r="D917" s="7" t="s">
        <v>143</v>
      </c>
      <c r="E917" s="7" t="s">
        <v>4116</v>
      </c>
      <c r="F917" s="7" t="s">
        <v>4420</v>
      </c>
      <c r="G917" s="7" t="s">
        <v>5002</v>
      </c>
      <c r="J917" s="131">
        <v>15740</v>
      </c>
      <c r="K917" s="34">
        <f t="shared" si="19"/>
        <v>9381.0399999999991</v>
      </c>
      <c r="L917" t="s">
        <v>4139</v>
      </c>
    </row>
    <row r="918" spans="2:12" x14ac:dyDescent="0.25">
      <c r="B918" s="53" t="s">
        <v>4911</v>
      </c>
      <c r="C918" s="132" t="s">
        <v>4994</v>
      </c>
      <c r="D918" s="7" t="s">
        <v>144</v>
      </c>
      <c r="E918" s="7" t="s">
        <v>4116</v>
      </c>
      <c r="F918" s="7" t="s">
        <v>4421</v>
      </c>
      <c r="G918" s="7" t="s">
        <v>5002</v>
      </c>
      <c r="J918" s="131">
        <v>15740</v>
      </c>
      <c r="K918" s="34">
        <f t="shared" si="19"/>
        <v>9381.0399999999991</v>
      </c>
      <c r="L918" t="s">
        <v>4139</v>
      </c>
    </row>
    <row r="919" spans="2:12" x14ac:dyDescent="0.25">
      <c r="B919" s="53" t="s">
        <v>4912</v>
      </c>
      <c r="C919" s="132" t="s">
        <v>4994</v>
      </c>
      <c r="D919" s="7" t="s">
        <v>145</v>
      </c>
      <c r="E919" s="7" t="s">
        <v>4116</v>
      </c>
      <c r="F919" s="7" t="s">
        <v>4422</v>
      </c>
      <c r="G919" s="7" t="s">
        <v>5002</v>
      </c>
      <c r="J919" s="131">
        <v>15740</v>
      </c>
      <c r="K919" s="34">
        <f t="shared" si="19"/>
        <v>9381.0399999999991</v>
      </c>
      <c r="L919" t="s">
        <v>4139</v>
      </c>
    </row>
    <row r="920" spans="2:12" x14ac:dyDescent="0.25">
      <c r="B920" s="53" t="s">
        <v>4913</v>
      </c>
      <c r="C920" s="132" t="s">
        <v>4994</v>
      </c>
      <c r="D920" s="7" t="s">
        <v>131</v>
      </c>
      <c r="E920" s="7" t="s">
        <v>4116</v>
      </c>
      <c r="F920" s="7" t="s">
        <v>4423</v>
      </c>
      <c r="G920" s="7" t="s">
        <v>5002</v>
      </c>
      <c r="J920" s="131">
        <v>12759</v>
      </c>
      <c r="K920" s="34">
        <f t="shared" si="19"/>
        <v>7604.3639999999996</v>
      </c>
      <c r="L920" t="s">
        <v>4139</v>
      </c>
    </row>
    <row r="921" spans="2:12" x14ac:dyDescent="0.25">
      <c r="B921" s="53" t="s">
        <v>4914</v>
      </c>
      <c r="C921" s="132" t="s">
        <v>4994</v>
      </c>
      <c r="D921" s="7" t="s">
        <v>132</v>
      </c>
      <c r="E921" s="7" t="s">
        <v>4116</v>
      </c>
      <c r="F921" s="7" t="s">
        <v>4424</v>
      </c>
      <c r="G921" s="7" t="s">
        <v>5002</v>
      </c>
      <c r="J921" s="131">
        <v>12759</v>
      </c>
      <c r="K921" s="34">
        <f t="shared" si="19"/>
        <v>7604.3639999999996</v>
      </c>
      <c r="L921" t="s">
        <v>4139</v>
      </c>
    </row>
    <row r="922" spans="2:12" x14ac:dyDescent="0.25">
      <c r="B922" s="53" t="s">
        <v>4915</v>
      </c>
      <c r="C922" s="132" t="s">
        <v>4994</v>
      </c>
      <c r="D922" s="7" t="s">
        <v>133</v>
      </c>
      <c r="E922" s="7" t="s">
        <v>4116</v>
      </c>
      <c r="F922" s="7" t="s">
        <v>4425</v>
      </c>
      <c r="G922" s="7" t="s">
        <v>5002</v>
      </c>
      <c r="J922" s="131">
        <v>12759</v>
      </c>
      <c r="K922" s="34">
        <f t="shared" si="19"/>
        <v>7604.3639999999996</v>
      </c>
      <c r="L922" t="s">
        <v>4139</v>
      </c>
    </row>
    <row r="923" spans="2:12" x14ac:dyDescent="0.25">
      <c r="B923" s="53" t="s">
        <v>4916</v>
      </c>
      <c r="C923" s="132" t="s">
        <v>4994</v>
      </c>
      <c r="D923" s="7" t="s">
        <v>134</v>
      </c>
      <c r="E923" s="7" t="s">
        <v>4116</v>
      </c>
      <c r="F923" s="7" t="s">
        <v>4426</v>
      </c>
      <c r="G923" s="7" t="s">
        <v>5002</v>
      </c>
      <c r="J923" s="131">
        <v>13139</v>
      </c>
      <c r="K923" s="34">
        <f t="shared" si="19"/>
        <v>7830.8440000000001</v>
      </c>
      <c r="L923" t="s">
        <v>4139</v>
      </c>
    </row>
    <row r="924" spans="2:12" x14ac:dyDescent="0.25">
      <c r="B924" s="53" t="s">
        <v>4917</v>
      </c>
      <c r="C924" s="132" t="s">
        <v>4994</v>
      </c>
      <c r="D924" s="7" t="s">
        <v>135</v>
      </c>
      <c r="E924" s="7" t="s">
        <v>4116</v>
      </c>
      <c r="F924" s="7" t="s">
        <v>4427</v>
      </c>
      <c r="G924" s="7" t="s">
        <v>5002</v>
      </c>
      <c r="J924" s="131">
        <v>13139</v>
      </c>
      <c r="K924" s="34">
        <f t="shared" si="19"/>
        <v>7830.8440000000001</v>
      </c>
      <c r="L924" t="s">
        <v>4139</v>
      </c>
    </row>
    <row r="925" spans="2:12" x14ac:dyDescent="0.25">
      <c r="B925" s="53" t="s">
        <v>4918</v>
      </c>
      <c r="C925" s="132" t="s">
        <v>4994</v>
      </c>
      <c r="D925" s="7" t="s">
        <v>136</v>
      </c>
      <c r="E925" s="7" t="s">
        <v>4116</v>
      </c>
      <c r="F925" s="7" t="s">
        <v>4428</v>
      </c>
      <c r="G925" s="7" t="s">
        <v>5002</v>
      </c>
      <c r="J925" s="131">
        <v>13139</v>
      </c>
      <c r="K925" s="34">
        <f t="shared" si="19"/>
        <v>7830.8440000000001</v>
      </c>
      <c r="L925" t="s">
        <v>4139</v>
      </c>
    </row>
    <row r="926" spans="2:12" x14ac:dyDescent="0.25">
      <c r="B926" s="53" t="s">
        <v>4919</v>
      </c>
      <c r="C926" s="132" t="s">
        <v>4994</v>
      </c>
      <c r="D926" s="7" t="s">
        <v>137</v>
      </c>
      <c r="E926" s="7" t="s">
        <v>4116</v>
      </c>
      <c r="F926" s="7" t="s">
        <v>4429</v>
      </c>
      <c r="G926" s="7" t="s">
        <v>5002</v>
      </c>
      <c r="J926" s="131">
        <v>13139</v>
      </c>
      <c r="K926" s="34">
        <f t="shared" si="19"/>
        <v>7830.8440000000001</v>
      </c>
      <c r="L926" t="s">
        <v>4139</v>
      </c>
    </row>
    <row r="927" spans="2:12" x14ac:dyDescent="0.25">
      <c r="B927" s="53" t="s">
        <v>4920</v>
      </c>
      <c r="C927" s="132" t="s">
        <v>4994</v>
      </c>
      <c r="D927" s="7" t="s">
        <v>146</v>
      </c>
      <c r="E927" s="7" t="s">
        <v>4116</v>
      </c>
      <c r="F927" s="7" t="s">
        <v>4430</v>
      </c>
      <c r="G927" s="7" t="s">
        <v>5002</v>
      </c>
      <c r="J927" s="131">
        <v>15740</v>
      </c>
      <c r="K927" s="34">
        <f t="shared" si="19"/>
        <v>9381.0399999999991</v>
      </c>
      <c r="L927" t="s">
        <v>4139</v>
      </c>
    </row>
    <row r="928" spans="2:12" x14ac:dyDescent="0.25">
      <c r="B928" s="53" t="s">
        <v>4921</v>
      </c>
      <c r="C928" s="132" t="s">
        <v>4994</v>
      </c>
      <c r="D928" s="7" t="s">
        <v>156</v>
      </c>
      <c r="E928" s="7" t="s">
        <v>4116</v>
      </c>
      <c r="F928" s="7" t="s">
        <v>4431</v>
      </c>
      <c r="G928" s="7" t="s">
        <v>5002</v>
      </c>
      <c r="J928" s="131">
        <v>15740</v>
      </c>
      <c r="K928" s="34">
        <f t="shared" si="19"/>
        <v>9381.0399999999991</v>
      </c>
      <c r="L928" t="s">
        <v>4139</v>
      </c>
    </row>
    <row r="929" spans="2:12" x14ac:dyDescent="0.25">
      <c r="B929" s="53" t="s">
        <v>4922</v>
      </c>
      <c r="C929" s="132" t="s">
        <v>4994</v>
      </c>
      <c r="D929" s="7" t="s">
        <v>148</v>
      </c>
      <c r="E929" s="7" t="s">
        <v>4116</v>
      </c>
      <c r="F929" s="7" t="s">
        <v>4432</v>
      </c>
      <c r="G929" s="7" t="s">
        <v>5002</v>
      </c>
      <c r="J929" s="131">
        <v>15740</v>
      </c>
      <c r="K929" s="34">
        <f t="shared" si="19"/>
        <v>9381.0399999999991</v>
      </c>
      <c r="L929" t="s">
        <v>4139</v>
      </c>
    </row>
    <row r="930" spans="2:12" x14ac:dyDescent="0.25">
      <c r="B930" s="53" t="s">
        <v>4923</v>
      </c>
      <c r="C930" s="132" t="s">
        <v>4994</v>
      </c>
      <c r="D930" s="7" t="s">
        <v>149</v>
      </c>
      <c r="E930" s="7" t="s">
        <v>4116</v>
      </c>
      <c r="F930" s="7" t="s">
        <v>4433</v>
      </c>
      <c r="G930" s="7" t="s">
        <v>5002</v>
      </c>
      <c r="J930" s="131">
        <v>15740</v>
      </c>
      <c r="K930" s="34">
        <f t="shared" si="19"/>
        <v>9381.0399999999991</v>
      </c>
      <c r="L930" t="s">
        <v>4139</v>
      </c>
    </row>
    <row r="931" spans="2:12" x14ac:dyDescent="0.25">
      <c r="B931" s="53" t="s">
        <v>4924</v>
      </c>
      <c r="C931" s="132" t="s">
        <v>4994</v>
      </c>
      <c r="D931" s="7" t="s">
        <v>4118</v>
      </c>
      <c r="E931" s="7" t="s">
        <v>4116</v>
      </c>
      <c r="F931" s="7" t="s">
        <v>4434</v>
      </c>
      <c r="G931" s="7" t="s">
        <v>5002</v>
      </c>
      <c r="J931" s="131">
        <v>12759</v>
      </c>
      <c r="K931" s="34">
        <f t="shared" si="19"/>
        <v>7604.3639999999996</v>
      </c>
      <c r="L931" t="s">
        <v>4139</v>
      </c>
    </row>
    <row r="932" spans="2:12" x14ac:dyDescent="0.25">
      <c r="B932" s="53" t="s">
        <v>4925</v>
      </c>
      <c r="C932" s="132" t="s">
        <v>4994</v>
      </c>
      <c r="D932" s="7" t="s">
        <v>4119</v>
      </c>
      <c r="E932" s="7" t="s">
        <v>4116</v>
      </c>
      <c r="F932" s="7" t="s">
        <v>4435</v>
      </c>
      <c r="G932" s="7" t="s">
        <v>5002</v>
      </c>
      <c r="J932" s="131">
        <v>12759</v>
      </c>
      <c r="K932" s="34">
        <f t="shared" si="19"/>
        <v>7604.3639999999996</v>
      </c>
      <c r="L932" t="s">
        <v>4139</v>
      </c>
    </row>
    <row r="933" spans="2:12" x14ac:dyDescent="0.25">
      <c r="B933" s="53" t="s">
        <v>4926</v>
      </c>
      <c r="C933" s="132" t="s">
        <v>4994</v>
      </c>
      <c r="D933" s="7" t="s">
        <v>4120</v>
      </c>
      <c r="E933" s="7" t="s">
        <v>4116</v>
      </c>
      <c r="F933" s="7" t="s">
        <v>4436</v>
      </c>
      <c r="G933" s="7" t="s">
        <v>5002</v>
      </c>
      <c r="J933" s="131">
        <v>12759</v>
      </c>
      <c r="K933" s="34">
        <f t="shared" si="19"/>
        <v>7604.3639999999996</v>
      </c>
      <c r="L933" t="s">
        <v>4139</v>
      </c>
    </row>
    <row r="934" spans="2:12" x14ac:dyDescent="0.25">
      <c r="B934" s="53" t="s">
        <v>4927</v>
      </c>
      <c r="C934" s="132" t="s">
        <v>4994</v>
      </c>
      <c r="D934" s="7" t="s">
        <v>4121</v>
      </c>
      <c r="E934" s="7" t="s">
        <v>4116</v>
      </c>
      <c r="F934" s="7" t="s">
        <v>4437</v>
      </c>
      <c r="G934" s="7" t="s">
        <v>5002</v>
      </c>
      <c r="J934" s="131">
        <v>13139</v>
      </c>
      <c r="K934" s="34">
        <f t="shared" si="19"/>
        <v>7830.8440000000001</v>
      </c>
      <c r="L934" t="s">
        <v>4139</v>
      </c>
    </row>
    <row r="935" spans="2:12" x14ac:dyDescent="0.25">
      <c r="B935" s="53" t="s">
        <v>4928</v>
      </c>
      <c r="C935" s="132" t="s">
        <v>4994</v>
      </c>
      <c r="D935" s="7" t="s">
        <v>4122</v>
      </c>
      <c r="E935" s="7" t="s">
        <v>4116</v>
      </c>
      <c r="F935" s="7" t="s">
        <v>4438</v>
      </c>
      <c r="G935" s="7" t="s">
        <v>5002</v>
      </c>
      <c r="J935" s="131">
        <v>13139</v>
      </c>
      <c r="K935" s="34">
        <f t="shared" si="19"/>
        <v>7830.8440000000001</v>
      </c>
      <c r="L935" t="s">
        <v>4139</v>
      </c>
    </row>
    <row r="936" spans="2:12" x14ac:dyDescent="0.25">
      <c r="B936" s="53" t="s">
        <v>4929</v>
      </c>
      <c r="C936" s="132" t="s">
        <v>4994</v>
      </c>
      <c r="D936" s="7" t="s">
        <v>4123</v>
      </c>
      <c r="E936" s="7" t="s">
        <v>4116</v>
      </c>
      <c r="F936" s="7" t="s">
        <v>4439</v>
      </c>
      <c r="G936" s="7" t="s">
        <v>5002</v>
      </c>
      <c r="J936" s="131">
        <v>13139</v>
      </c>
      <c r="K936" s="34">
        <f t="shared" si="19"/>
        <v>7830.8440000000001</v>
      </c>
      <c r="L936" t="s">
        <v>4139</v>
      </c>
    </row>
    <row r="937" spans="2:12" x14ac:dyDescent="0.25">
      <c r="B937" s="53" t="s">
        <v>4930</v>
      </c>
      <c r="C937" s="132" t="s">
        <v>4994</v>
      </c>
      <c r="D937" s="7" t="s">
        <v>4124</v>
      </c>
      <c r="E937" s="7" t="s">
        <v>4116</v>
      </c>
      <c r="F937" s="7" t="s">
        <v>4440</v>
      </c>
      <c r="G937" s="7" t="s">
        <v>5002</v>
      </c>
      <c r="J937" s="131">
        <v>13139</v>
      </c>
      <c r="K937" s="34">
        <f t="shared" si="19"/>
        <v>7830.8440000000001</v>
      </c>
      <c r="L937" t="s">
        <v>4139</v>
      </c>
    </row>
    <row r="938" spans="2:12" x14ac:dyDescent="0.25">
      <c r="B938" s="53" t="s">
        <v>4931</v>
      </c>
      <c r="C938" s="132" t="s">
        <v>4994</v>
      </c>
      <c r="D938" s="7" t="s">
        <v>4125</v>
      </c>
      <c r="E938" s="7" t="s">
        <v>4116</v>
      </c>
      <c r="F938" s="7" t="s">
        <v>4441</v>
      </c>
      <c r="G938" s="7" t="s">
        <v>5002</v>
      </c>
      <c r="J938" s="131">
        <v>15740</v>
      </c>
      <c r="K938" s="34">
        <f t="shared" si="19"/>
        <v>9381.0399999999991</v>
      </c>
      <c r="L938" t="s">
        <v>4139</v>
      </c>
    </row>
    <row r="939" spans="2:12" x14ac:dyDescent="0.25">
      <c r="B939" s="53" t="s">
        <v>4932</v>
      </c>
      <c r="C939" s="132" t="s">
        <v>4994</v>
      </c>
      <c r="D939" s="7" t="s">
        <v>4126</v>
      </c>
      <c r="E939" s="7" t="s">
        <v>4116</v>
      </c>
      <c r="F939" s="7" t="s">
        <v>4442</v>
      </c>
      <c r="G939" s="7" t="s">
        <v>5002</v>
      </c>
      <c r="J939" s="131">
        <v>15740</v>
      </c>
      <c r="K939" s="34">
        <f t="shared" si="19"/>
        <v>9381.0399999999991</v>
      </c>
      <c r="L939" t="s">
        <v>4139</v>
      </c>
    </row>
    <row r="940" spans="2:12" x14ac:dyDescent="0.25">
      <c r="B940" s="53" t="s">
        <v>4933</v>
      </c>
      <c r="C940" s="132" t="s">
        <v>4994</v>
      </c>
      <c r="D940" s="7" t="s">
        <v>4127</v>
      </c>
      <c r="E940" s="7" t="s">
        <v>4116</v>
      </c>
      <c r="F940" s="7" t="s">
        <v>4443</v>
      </c>
      <c r="G940" s="7" t="s">
        <v>5002</v>
      </c>
      <c r="J940" s="131">
        <v>15740</v>
      </c>
      <c r="K940" s="34">
        <f t="shared" si="19"/>
        <v>9381.0399999999991</v>
      </c>
      <c r="L940" t="s">
        <v>4139</v>
      </c>
    </row>
    <row r="941" spans="2:12" x14ac:dyDescent="0.25">
      <c r="B941" s="53" t="s">
        <v>4934</v>
      </c>
      <c r="C941" s="132" t="s">
        <v>4994</v>
      </c>
      <c r="D941" s="7" t="s">
        <v>674</v>
      </c>
      <c r="E941" s="7" t="s">
        <v>4116</v>
      </c>
      <c r="F941" s="7" t="s">
        <v>4444</v>
      </c>
      <c r="G941" s="7" t="s">
        <v>5002</v>
      </c>
      <c r="J941" s="131">
        <v>15740</v>
      </c>
      <c r="K941" s="34">
        <f t="shared" si="19"/>
        <v>9381.0399999999991</v>
      </c>
      <c r="L941" t="s">
        <v>4139</v>
      </c>
    </row>
    <row r="942" spans="2:12" x14ac:dyDescent="0.25">
      <c r="B942" s="53" t="s">
        <v>4935</v>
      </c>
      <c r="C942" s="132" t="s">
        <v>4994</v>
      </c>
      <c r="D942" s="7" t="s">
        <v>4128</v>
      </c>
      <c r="E942" s="7" t="s">
        <v>4116</v>
      </c>
      <c r="F942" s="7" t="s">
        <v>4445</v>
      </c>
      <c r="G942" s="7" t="s">
        <v>5002</v>
      </c>
      <c r="J942" s="131">
        <v>12759</v>
      </c>
      <c r="K942" s="34">
        <f t="shared" si="19"/>
        <v>7604.3639999999996</v>
      </c>
      <c r="L942" t="s">
        <v>4139</v>
      </c>
    </row>
    <row r="943" spans="2:12" x14ac:dyDescent="0.25">
      <c r="B943" s="53" t="s">
        <v>4936</v>
      </c>
      <c r="C943" s="132" t="s">
        <v>4994</v>
      </c>
      <c r="D943" s="7" t="s">
        <v>4129</v>
      </c>
      <c r="E943" s="7" t="s">
        <v>4116</v>
      </c>
      <c r="F943" s="7" t="s">
        <v>4446</v>
      </c>
      <c r="G943" s="7" t="s">
        <v>5002</v>
      </c>
      <c r="J943" s="131">
        <v>12759</v>
      </c>
      <c r="K943" s="34">
        <f t="shared" si="19"/>
        <v>7604.3639999999996</v>
      </c>
      <c r="L943" t="s">
        <v>4139</v>
      </c>
    </row>
    <row r="944" spans="2:12" x14ac:dyDescent="0.25">
      <c r="B944" s="53" t="s">
        <v>4937</v>
      </c>
      <c r="C944" s="132" t="s">
        <v>4994</v>
      </c>
      <c r="D944" s="7" t="s">
        <v>4130</v>
      </c>
      <c r="E944" s="7" t="s">
        <v>4116</v>
      </c>
      <c r="F944" s="7" t="s">
        <v>4447</v>
      </c>
      <c r="G944" s="7" t="s">
        <v>5002</v>
      </c>
      <c r="J944" s="131">
        <v>12759</v>
      </c>
      <c r="K944" s="34">
        <f t="shared" si="19"/>
        <v>7604.3639999999996</v>
      </c>
      <c r="L944" t="s">
        <v>4139</v>
      </c>
    </row>
    <row r="945" spans="2:12" x14ac:dyDescent="0.25">
      <c r="B945" s="53" t="s">
        <v>4938</v>
      </c>
      <c r="C945" s="132" t="s">
        <v>4994</v>
      </c>
      <c r="D945" s="7" t="s">
        <v>4131</v>
      </c>
      <c r="E945" s="7" t="s">
        <v>4116</v>
      </c>
      <c r="F945" s="7" t="s">
        <v>4448</v>
      </c>
      <c r="G945" s="7" t="s">
        <v>5002</v>
      </c>
      <c r="J945" s="131">
        <v>13139</v>
      </c>
      <c r="K945" s="34">
        <f t="shared" si="19"/>
        <v>7830.8440000000001</v>
      </c>
      <c r="L945" t="s">
        <v>4139</v>
      </c>
    </row>
    <row r="946" spans="2:12" x14ac:dyDescent="0.25">
      <c r="B946" s="53" t="s">
        <v>4939</v>
      </c>
      <c r="C946" s="132" t="s">
        <v>4994</v>
      </c>
      <c r="D946" s="7" t="s">
        <v>4132</v>
      </c>
      <c r="E946" s="7" t="s">
        <v>4116</v>
      </c>
      <c r="F946" s="7" t="s">
        <v>4449</v>
      </c>
      <c r="G946" s="7" t="s">
        <v>5002</v>
      </c>
      <c r="J946" s="131">
        <v>13139</v>
      </c>
      <c r="K946" s="34">
        <f t="shared" si="19"/>
        <v>7830.8440000000001</v>
      </c>
      <c r="L946" t="s">
        <v>4139</v>
      </c>
    </row>
    <row r="947" spans="2:12" x14ac:dyDescent="0.25">
      <c r="B947" s="53" t="s">
        <v>4940</v>
      </c>
      <c r="C947" s="132" t="s">
        <v>4994</v>
      </c>
      <c r="D947" s="7" t="s">
        <v>4133</v>
      </c>
      <c r="E947" s="7" t="s">
        <v>4116</v>
      </c>
      <c r="F947" s="7" t="s">
        <v>4450</v>
      </c>
      <c r="G947" s="7" t="s">
        <v>5002</v>
      </c>
      <c r="J947" s="131">
        <v>13139</v>
      </c>
      <c r="K947" s="34">
        <f t="shared" si="19"/>
        <v>7830.8440000000001</v>
      </c>
      <c r="L947" t="s">
        <v>4139</v>
      </c>
    </row>
    <row r="948" spans="2:12" x14ac:dyDescent="0.25">
      <c r="B948" s="53" t="s">
        <v>4941</v>
      </c>
      <c r="C948" s="132" t="s">
        <v>4994</v>
      </c>
      <c r="D948" s="7" t="s">
        <v>4134</v>
      </c>
      <c r="E948" s="7" t="s">
        <v>4116</v>
      </c>
      <c r="F948" s="7" t="s">
        <v>4451</v>
      </c>
      <c r="G948" s="7" t="s">
        <v>5002</v>
      </c>
      <c r="J948" s="131">
        <v>13139</v>
      </c>
      <c r="K948" s="34">
        <f t="shared" si="19"/>
        <v>7830.8440000000001</v>
      </c>
      <c r="L948" t="s">
        <v>4139</v>
      </c>
    </row>
    <row r="949" spans="2:12" x14ac:dyDescent="0.25">
      <c r="B949" s="53" t="s">
        <v>4942</v>
      </c>
      <c r="C949" s="132" t="s">
        <v>4994</v>
      </c>
      <c r="D949" s="7" t="s">
        <v>4135</v>
      </c>
      <c r="E949" s="7" t="s">
        <v>4116</v>
      </c>
      <c r="F949" s="7" t="s">
        <v>4452</v>
      </c>
      <c r="G949" s="7" t="s">
        <v>5002</v>
      </c>
      <c r="J949" s="131">
        <v>15740</v>
      </c>
      <c r="K949" s="34">
        <f t="shared" si="19"/>
        <v>9381.0399999999991</v>
      </c>
      <c r="L949" t="s">
        <v>4139</v>
      </c>
    </row>
    <row r="950" spans="2:12" x14ac:dyDescent="0.25">
      <c r="B950" s="53" t="s">
        <v>4943</v>
      </c>
      <c r="C950" s="132" t="s">
        <v>4994</v>
      </c>
      <c r="D950" s="7" t="s">
        <v>4136</v>
      </c>
      <c r="E950" s="7" t="s">
        <v>4116</v>
      </c>
      <c r="F950" s="7" t="s">
        <v>4453</v>
      </c>
      <c r="G950" s="7" t="s">
        <v>5002</v>
      </c>
      <c r="J950" s="131">
        <v>15740</v>
      </c>
      <c r="K950" s="34">
        <f t="shared" si="19"/>
        <v>9381.0399999999991</v>
      </c>
      <c r="L950" t="s">
        <v>4139</v>
      </c>
    </row>
    <row r="951" spans="2:12" x14ac:dyDescent="0.25">
      <c r="B951" s="53" t="s">
        <v>4944</v>
      </c>
      <c r="C951" s="132" t="s">
        <v>4994</v>
      </c>
      <c r="D951" s="7" t="s">
        <v>4137</v>
      </c>
      <c r="E951" s="7" t="s">
        <v>4116</v>
      </c>
      <c r="F951" s="7" t="s">
        <v>4454</v>
      </c>
      <c r="G951" s="7" t="s">
        <v>5002</v>
      </c>
      <c r="J951" s="131">
        <v>15740</v>
      </c>
      <c r="K951" s="34">
        <f t="shared" si="19"/>
        <v>9381.0399999999991</v>
      </c>
      <c r="L951" t="s">
        <v>4139</v>
      </c>
    </row>
    <row r="952" spans="2:12" x14ac:dyDescent="0.25">
      <c r="B952" s="53" t="s">
        <v>4945</v>
      </c>
      <c r="C952" s="132" t="s">
        <v>4994</v>
      </c>
      <c r="D952" s="7" t="s">
        <v>687</v>
      </c>
      <c r="E952" s="7" t="s">
        <v>4116</v>
      </c>
      <c r="F952" s="7" t="s">
        <v>4455</v>
      </c>
      <c r="G952" s="7" t="s">
        <v>5002</v>
      </c>
      <c r="J952" s="131">
        <v>15740</v>
      </c>
      <c r="K952" s="34">
        <f t="shared" si="19"/>
        <v>9381.0399999999991</v>
      </c>
      <c r="L952" t="s">
        <v>4139</v>
      </c>
    </row>
    <row r="953" spans="2:12" x14ac:dyDescent="0.25">
      <c r="B953" s="53" t="s">
        <v>4946</v>
      </c>
      <c r="C953" s="132" t="s">
        <v>4995</v>
      </c>
      <c r="D953" s="7" t="s">
        <v>124</v>
      </c>
      <c r="E953" s="7" t="s">
        <v>4116</v>
      </c>
      <c r="F953" s="2" t="s">
        <v>4412</v>
      </c>
      <c r="G953" s="7" t="s">
        <v>5002</v>
      </c>
      <c r="J953" s="131">
        <v>12759</v>
      </c>
      <c r="K953" s="34">
        <f t="shared" si="19"/>
        <v>7604.3639999999996</v>
      </c>
      <c r="L953" t="s">
        <v>4139</v>
      </c>
    </row>
    <row r="954" spans="2:12" x14ac:dyDescent="0.25">
      <c r="B954" s="53" t="s">
        <v>4947</v>
      </c>
      <c r="C954" s="132" t="s">
        <v>4995</v>
      </c>
      <c r="D954" s="7" t="s">
        <v>125</v>
      </c>
      <c r="E954" s="7" t="s">
        <v>4116</v>
      </c>
      <c r="F954" s="7" t="s">
        <v>4413</v>
      </c>
      <c r="G954" s="7" t="s">
        <v>5002</v>
      </c>
      <c r="J954" s="131">
        <v>12759</v>
      </c>
      <c r="K954" s="34">
        <f t="shared" si="19"/>
        <v>7604.3639999999996</v>
      </c>
      <c r="L954" t="s">
        <v>4139</v>
      </c>
    </row>
    <row r="955" spans="2:12" x14ac:dyDescent="0.25">
      <c r="B955" s="53" t="s">
        <v>4948</v>
      </c>
      <c r="C955" s="132" t="s">
        <v>4995</v>
      </c>
      <c r="D955" s="7" t="s">
        <v>126</v>
      </c>
      <c r="E955" s="7" t="s">
        <v>4116</v>
      </c>
      <c r="F955" s="7" t="s">
        <v>4414</v>
      </c>
      <c r="G955" s="7" t="s">
        <v>5002</v>
      </c>
      <c r="J955" s="131">
        <v>12759</v>
      </c>
      <c r="K955" s="34">
        <f t="shared" si="19"/>
        <v>7604.3639999999996</v>
      </c>
      <c r="L955" t="s">
        <v>4139</v>
      </c>
    </row>
    <row r="956" spans="2:12" x14ac:dyDescent="0.25">
      <c r="B956" s="53" t="s">
        <v>4949</v>
      </c>
      <c r="C956" s="132" t="s">
        <v>4995</v>
      </c>
      <c r="D956" s="7" t="s">
        <v>127</v>
      </c>
      <c r="E956" s="7" t="s">
        <v>4116</v>
      </c>
      <c r="F956" s="7" t="s">
        <v>4415</v>
      </c>
      <c r="G956" s="7" t="s">
        <v>5002</v>
      </c>
      <c r="J956" s="131">
        <v>13139</v>
      </c>
      <c r="K956" s="34">
        <f t="shared" si="19"/>
        <v>7830.8440000000001</v>
      </c>
      <c r="L956" t="s">
        <v>4139</v>
      </c>
    </row>
    <row r="957" spans="2:12" x14ac:dyDescent="0.25">
      <c r="B957" s="53" t="s">
        <v>4950</v>
      </c>
      <c r="C957" s="132" t="s">
        <v>4995</v>
      </c>
      <c r="D957" s="7" t="s">
        <v>128</v>
      </c>
      <c r="E957" s="7" t="s">
        <v>4116</v>
      </c>
      <c r="F957" s="7" t="s">
        <v>4416</v>
      </c>
      <c r="G957" s="7" t="s">
        <v>5002</v>
      </c>
      <c r="J957" s="131">
        <v>13139</v>
      </c>
      <c r="K957" s="34">
        <f t="shared" si="19"/>
        <v>7830.8440000000001</v>
      </c>
      <c r="L957" t="s">
        <v>4139</v>
      </c>
    </row>
    <row r="958" spans="2:12" x14ac:dyDescent="0.25">
      <c r="B958" s="53" t="s">
        <v>4951</v>
      </c>
      <c r="C958" s="132" t="s">
        <v>4995</v>
      </c>
      <c r="D958" s="7" t="s">
        <v>129</v>
      </c>
      <c r="E958" s="7" t="s">
        <v>4116</v>
      </c>
      <c r="F958" s="7" t="s">
        <v>4417</v>
      </c>
      <c r="G958" s="7" t="s">
        <v>5002</v>
      </c>
      <c r="J958" s="131">
        <v>13139</v>
      </c>
      <c r="K958" s="34">
        <f t="shared" si="19"/>
        <v>7830.8440000000001</v>
      </c>
      <c r="L958" t="s">
        <v>4139</v>
      </c>
    </row>
    <row r="959" spans="2:12" x14ac:dyDescent="0.25">
      <c r="B959" s="53" t="s">
        <v>4952</v>
      </c>
      <c r="C959" s="132" t="s">
        <v>4995</v>
      </c>
      <c r="D959" s="7" t="s">
        <v>130</v>
      </c>
      <c r="E959" s="7" t="s">
        <v>4116</v>
      </c>
      <c r="F959" s="7" t="s">
        <v>4418</v>
      </c>
      <c r="G959" s="7" t="s">
        <v>5002</v>
      </c>
      <c r="J959" s="131">
        <v>13139</v>
      </c>
      <c r="K959" s="34">
        <f t="shared" ref="K959:K996" si="20">J959*0.596</f>
        <v>7830.8440000000001</v>
      </c>
      <c r="L959" t="s">
        <v>4139</v>
      </c>
    </row>
    <row r="960" spans="2:12" x14ac:dyDescent="0.25">
      <c r="B960" s="53" t="s">
        <v>4953</v>
      </c>
      <c r="C960" s="132" t="s">
        <v>4995</v>
      </c>
      <c r="D960" s="7" t="s">
        <v>142</v>
      </c>
      <c r="E960" s="7" t="s">
        <v>4116</v>
      </c>
      <c r="F960" s="7" t="s">
        <v>4419</v>
      </c>
      <c r="G960" s="7" t="s">
        <v>5002</v>
      </c>
      <c r="J960" s="131">
        <v>15740</v>
      </c>
      <c r="K960" s="34">
        <f t="shared" si="20"/>
        <v>9381.0399999999991</v>
      </c>
      <c r="L960" t="s">
        <v>4139</v>
      </c>
    </row>
    <row r="961" spans="2:12" x14ac:dyDescent="0.25">
      <c r="B961" s="53" t="s">
        <v>4954</v>
      </c>
      <c r="C961" s="132" t="s">
        <v>4995</v>
      </c>
      <c r="D961" s="7" t="s">
        <v>143</v>
      </c>
      <c r="E961" s="7" t="s">
        <v>4116</v>
      </c>
      <c r="F961" s="7" t="s">
        <v>4420</v>
      </c>
      <c r="G961" s="7" t="s">
        <v>5002</v>
      </c>
      <c r="J961" s="131">
        <v>15740</v>
      </c>
      <c r="K961" s="34">
        <f t="shared" si="20"/>
        <v>9381.0399999999991</v>
      </c>
      <c r="L961" t="s">
        <v>4139</v>
      </c>
    </row>
    <row r="962" spans="2:12" x14ac:dyDescent="0.25">
      <c r="B962" s="53" t="s">
        <v>4955</v>
      </c>
      <c r="C962" s="132" t="s">
        <v>4995</v>
      </c>
      <c r="D962" s="7" t="s">
        <v>144</v>
      </c>
      <c r="E962" s="7" t="s">
        <v>4116</v>
      </c>
      <c r="F962" s="7" t="s">
        <v>4421</v>
      </c>
      <c r="G962" s="7" t="s">
        <v>5002</v>
      </c>
      <c r="J962" s="131">
        <v>15740</v>
      </c>
      <c r="K962" s="34">
        <f t="shared" si="20"/>
        <v>9381.0399999999991</v>
      </c>
      <c r="L962" t="s">
        <v>4139</v>
      </c>
    </row>
    <row r="963" spans="2:12" x14ac:dyDescent="0.25">
      <c r="B963" s="53" t="s">
        <v>4956</v>
      </c>
      <c r="C963" s="132" t="s">
        <v>4995</v>
      </c>
      <c r="D963" s="7" t="s">
        <v>145</v>
      </c>
      <c r="E963" s="7" t="s">
        <v>4116</v>
      </c>
      <c r="F963" s="7" t="s">
        <v>4422</v>
      </c>
      <c r="G963" s="7" t="s">
        <v>5002</v>
      </c>
      <c r="J963" s="131">
        <v>15740</v>
      </c>
      <c r="K963" s="34">
        <f t="shared" si="20"/>
        <v>9381.0399999999991</v>
      </c>
      <c r="L963" t="s">
        <v>4139</v>
      </c>
    </row>
    <row r="964" spans="2:12" x14ac:dyDescent="0.25">
      <c r="B964" s="53" t="s">
        <v>4957</v>
      </c>
      <c r="C964" s="132" t="s">
        <v>4995</v>
      </c>
      <c r="D964" s="7" t="s">
        <v>131</v>
      </c>
      <c r="E964" s="7" t="s">
        <v>4116</v>
      </c>
      <c r="F964" s="7" t="s">
        <v>4423</v>
      </c>
      <c r="G964" s="7" t="s">
        <v>5002</v>
      </c>
      <c r="J964" s="131">
        <v>12759</v>
      </c>
      <c r="K964" s="34">
        <f t="shared" si="20"/>
        <v>7604.3639999999996</v>
      </c>
      <c r="L964" t="s">
        <v>4139</v>
      </c>
    </row>
    <row r="965" spans="2:12" x14ac:dyDescent="0.25">
      <c r="B965" s="53" t="s">
        <v>4958</v>
      </c>
      <c r="C965" s="132" t="s">
        <v>4995</v>
      </c>
      <c r="D965" s="7" t="s">
        <v>132</v>
      </c>
      <c r="E965" s="7" t="s">
        <v>4116</v>
      </c>
      <c r="F965" s="7" t="s">
        <v>4424</v>
      </c>
      <c r="G965" s="7" t="s">
        <v>5002</v>
      </c>
      <c r="J965" s="131">
        <v>12759</v>
      </c>
      <c r="K965" s="34">
        <f t="shared" si="20"/>
        <v>7604.3639999999996</v>
      </c>
      <c r="L965" t="s">
        <v>4139</v>
      </c>
    </row>
    <row r="966" spans="2:12" x14ac:dyDescent="0.25">
      <c r="B966" s="53" t="s">
        <v>4959</v>
      </c>
      <c r="C966" s="132" t="s">
        <v>4995</v>
      </c>
      <c r="D966" s="7" t="s">
        <v>133</v>
      </c>
      <c r="E966" s="7" t="s">
        <v>4116</v>
      </c>
      <c r="F966" s="7" t="s">
        <v>4425</v>
      </c>
      <c r="G966" s="7" t="s">
        <v>5002</v>
      </c>
      <c r="J966" s="131">
        <v>12759</v>
      </c>
      <c r="K966" s="34">
        <f t="shared" si="20"/>
        <v>7604.3639999999996</v>
      </c>
      <c r="L966" t="s">
        <v>4139</v>
      </c>
    </row>
    <row r="967" spans="2:12" x14ac:dyDescent="0.25">
      <c r="B967" s="53" t="s">
        <v>4960</v>
      </c>
      <c r="C967" s="132" t="s">
        <v>4995</v>
      </c>
      <c r="D967" s="7" t="s">
        <v>134</v>
      </c>
      <c r="E967" s="7" t="s">
        <v>4116</v>
      </c>
      <c r="F967" s="7" t="s">
        <v>4426</v>
      </c>
      <c r="G967" s="7" t="s">
        <v>5002</v>
      </c>
      <c r="J967" s="131">
        <v>13139</v>
      </c>
      <c r="K967" s="34">
        <f t="shared" si="20"/>
        <v>7830.8440000000001</v>
      </c>
      <c r="L967" t="s">
        <v>4139</v>
      </c>
    </row>
    <row r="968" spans="2:12" x14ac:dyDescent="0.25">
      <c r="B968" s="53" t="s">
        <v>4961</v>
      </c>
      <c r="C968" s="132" t="s">
        <v>4995</v>
      </c>
      <c r="D968" s="7" t="s">
        <v>135</v>
      </c>
      <c r="E968" s="7" t="s">
        <v>4116</v>
      </c>
      <c r="F968" s="7" t="s">
        <v>4427</v>
      </c>
      <c r="G968" s="7" t="s">
        <v>5002</v>
      </c>
      <c r="J968" s="131">
        <v>13139</v>
      </c>
      <c r="K968" s="34">
        <f t="shared" si="20"/>
        <v>7830.8440000000001</v>
      </c>
      <c r="L968" t="s">
        <v>4139</v>
      </c>
    </row>
    <row r="969" spans="2:12" x14ac:dyDescent="0.25">
      <c r="B969" s="53" t="s">
        <v>4962</v>
      </c>
      <c r="C969" s="132" t="s">
        <v>4995</v>
      </c>
      <c r="D969" s="7" t="s">
        <v>136</v>
      </c>
      <c r="E969" s="7" t="s">
        <v>4116</v>
      </c>
      <c r="F969" s="7" t="s">
        <v>4428</v>
      </c>
      <c r="G969" s="7" t="s">
        <v>5002</v>
      </c>
      <c r="J969" s="131">
        <v>13139</v>
      </c>
      <c r="K969" s="34">
        <f t="shared" si="20"/>
        <v>7830.8440000000001</v>
      </c>
      <c r="L969" t="s">
        <v>4139</v>
      </c>
    </row>
    <row r="970" spans="2:12" x14ac:dyDescent="0.25">
      <c r="B970" s="53" t="s">
        <v>4963</v>
      </c>
      <c r="C970" s="132" t="s">
        <v>4995</v>
      </c>
      <c r="D970" s="7" t="s">
        <v>137</v>
      </c>
      <c r="E970" s="7" t="s">
        <v>4116</v>
      </c>
      <c r="F970" s="7" t="s">
        <v>4429</v>
      </c>
      <c r="G970" s="7" t="s">
        <v>5002</v>
      </c>
      <c r="J970" s="131">
        <v>13139</v>
      </c>
      <c r="K970" s="34">
        <f t="shared" si="20"/>
        <v>7830.8440000000001</v>
      </c>
      <c r="L970" t="s">
        <v>4139</v>
      </c>
    </row>
    <row r="971" spans="2:12" x14ac:dyDescent="0.25">
      <c r="B971" s="53" t="s">
        <v>4964</v>
      </c>
      <c r="C971" s="132" t="s">
        <v>4995</v>
      </c>
      <c r="D971" s="7" t="s">
        <v>146</v>
      </c>
      <c r="E971" s="7" t="s">
        <v>4116</v>
      </c>
      <c r="F971" s="7" t="s">
        <v>4430</v>
      </c>
      <c r="G971" s="7" t="s">
        <v>5002</v>
      </c>
      <c r="J971" s="131">
        <v>15740</v>
      </c>
      <c r="K971" s="34">
        <f t="shared" si="20"/>
        <v>9381.0399999999991</v>
      </c>
      <c r="L971" t="s">
        <v>4139</v>
      </c>
    </row>
    <row r="972" spans="2:12" x14ac:dyDescent="0.25">
      <c r="B972" s="53" t="s">
        <v>4965</v>
      </c>
      <c r="C972" s="132" t="s">
        <v>4995</v>
      </c>
      <c r="D972" s="7" t="s">
        <v>156</v>
      </c>
      <c r="E972" s="7" t="s">
        <v>4116</v>
      </c>
      <c r="F972" s="7" t="s">
        <v>4431</v>
      </c>
      <c r="G972" s="7" t="s">
        <v>5002</v>
      </c>
      <c r="J972" s="131">
        <v>15740</v>
      </c>
      <c r="K972" s="34">
        <f t="shared" si="20"/>
        <v>9381.0399999999991</v>
      </c>
      <c r="L972" t="s">
        <v>4139</v>
      </c>
    </row>
    <row r="973" spans="2:12" x14ac:dyDescent="0.25">
      <c r="B973" s="53" t="s">
        <v>4966</v>
      </c>
      <c r="C973" s="132" t="s">
        <v>4995</v>
      </c>
      <c r="D973" s="7" t="s">
        <v>148</v>
      </c>
      <c r="E973" s="7" t="s">
        <v>4116</v>
      </c>
      <c r="F973" s="7" t="s">
        <v>4432</v>
      </c>
      <c r="G973" s="7" t="s">
        <v>5002</v>
      </c>
      <c r="J973" s="131">
        <v>15740</v>
      </c>
      <c r="K973" s="34">
        <f t="shared" si="20"/>
        <v>9381.0399999999991</v>
      </c>
      <c r="L973" t="s">
        <v>4139</v>
      </c>
    </row>
    <row r="974" spans="2:12" x14ac:dyDescent="0.25">
      <c r="B974" s="53" t="s">
        <v>4967</v>
      </c>
      <c r="C974" s="132" t="s">
        <v>4995</v>
      </c>
      <c r="D974" s="7" t="s">
        <v>149</v>
      </c>
      <c r="E974" s="7" t="s">
        <v>4116</v>
      </c>
      <c r="F974" s="7" t="s">
        <v>4433</v>
      </c>
      <c r="G974" s="7" t="s">
        <v>5002</v>
      </c>
      <c r="J974" s="131">
        <v>15740</v>
      </c>
      <c r="K974" s="34">
        <f t="shared" si="20"/>
        <v>9381.0399999999991</v>
      </c>
      <c r="L974" t="s">
        <v>4139</v>
      </c>
    </row>
    <row r="975" spans="2:12" x14ac:dyDescent="0.25">
      <c r="B975" s="53" t="s">
        <v>4968</v>
      </c>
      <c r="C975" s="132" t="s">
        <v>4995</v>
      </c>
      <c r="D975" s="7" t="s">
        <v>4118</v>
      </c>
      <c r="E975" s="7" t="s">
        <v>4116</v>
      </c>
      <c r="F975" s="7" t="s">
        <v>4434</v>
      </c>
      <c r="G975" s="7" t="s">
        <v>5002</v>
      </c>
      <c r="J975" s="131">
        <v>12759</v>
      </c>
      <c r="K975" s="34">
        <f t="shared" si="20"/>
        <v>7604.3639999999996</v>
      </c>
      <c r="L975" t="s">
        <v>4139</v>
      </c>
    </row>
    <row r="976" spans="2:12" x14ac:dyDescent="0.25">
      <c r="B976" s="53" t="s">
        <v>4969</v>
      </c>
      <c r="C976" s="132" t="s">
        <v>4995</v>
      </c>
      <c r="D976" s="7" t="s">
        <v>4119</v>
      </c>
      <c r="E976" s="7" t="s">
        <v>4116</v>
      </c>
      <c r="F976" s="7" t="s">
        <v>4435</v>
      </c>
      <c r="G976" s="7" t="s">
        <v>5002</v>
      </c>
      <c r="J976" s="131">
        <v>12759</v>
      </c>
      <c r="K976" s="34">
        <f t="shared" si="20"/>
        <v>7604.3639999999996</v>
      </c>
      <c r="L976" t="s">
        <v>4139</v>
      </c>
    </row>
    <row r="977" spans="2:12" x14ac:dyDescent="0.25">
      <c r="B977" s="53" t="s">
        <v>4970</v>
      </c>
      <c r="C977" s="132" t="s">
        <v>4995</v>
      </c>
      <c r="D977" s="7" t="s">
        <v>4120</v>
      </c>
      <c r="E977" s="7" t="s">
        <v>4116</v>
      </c>
      <c r="F977" s="7" t="s">
        <v>4436</v>
      </c>
      <c r="G977" s="7" t="s">
        <v>5002</v>
      </c>
      <c r="J977" s="131">
        <v>12759</v>
      </c>
      <c r="K977" s="34">
        <f t="shared" si="20"/>
        <v>7604.3639999999996</v>
      </c>
      <c r="L977" t="s">
        <v>4139</v>
      </c>
    </row>
    <row r="978" spans="2:12" x14ac:dyDescent="0.25">
      <c r="B978" s="53" t="s">
        <v>4971</v>
      </c>
      <c r="C978" s="132" t="s">
        <v>4995</v>
      </c>
      <c r="D978" s="7" t="s">
        <v>4121</v>
      </c>
      <c r="E978" s="7" t="s">
        <v>4116</v>
      </c>
      <c r="F978" s="7" t="s">
        <v>4437</v>
      </c>
      <c r="G978" s="7" t="s">
        <v>5002</v>
      </c>
      <c r="J978" s="131">
        <v>13139</v>
      </c>
      <c r="K978" s="34">
        <f t="shared" si="20"/>
        <v>7830.8440000000001</v>
      </c>
      <c r="L978" t="s">
        <v>4139</v>
      </c>
    </row>
    <row r="979" spans="2:12" x14ac:dyDescent="0.25">
      <c r="B979" s="53" t="s">
        <v>4972</v>
      </c>
      <c r="C979" s="132" t="s">
        <v>4995</v>
      </c>
      <c r="D979" s="7" t="s">
        <v>4122</v>
      </c>
      <c r="E979" s="7" t="s">
        <v>4116</v>
      </c>
      <c r="F979" s="7" t="s">
        <v>4438</v>
      </c>
      <c r="G979" s="7" t="s">
        <v>5002</v>
      </c>
      <c r="J979" s="131">
        <v>13139</v>
      </c>
      <c r="K979" s="34">
        <f t="shared" si="20"/>
        <v>7830.8440000000001</v>
      </c>
      <c r="L979" t="s">
        <v>4139</v>
      </c>
    </row>
    <row r="980" spans="2:12" x14ac:dyDescent="0.25">
      <c r="B980" s="53" t="s">
        <v>4973</v>
      </c>
      <c r="C980" s="132" t="s">
        <v>4995</v>
      </c>
      <c r="D980" s="7" t="s">
        <v>4123</v>
      </c>
      <c r="E980" s="7" t="s">
        <v>4116</v>
      </c>
      <c r="F980" s="7" t="s">
        <v>4439</v>
      </c>
      <c r="G980" s="7" t="s">
        <v>5002</v>
      </c>
      <c r="J980" s="131">
        <v>13139</v>
      </c>
      <c r="K980" s="34">
        <f t="shared" si="20"/>
        <v>7830.8440000000001</v>
      </c>
      <c r="L980" t="s">
        <v>4139</v>
      </c>
    </row>
    <row r="981" spans="2:12" x14ac:dyDescent="0.25">
      <c r="B981" s="53" t="s">
        <v>4974</v>
      </c>
      <c r="C981" s="132" t="s">
        <v>4995</v>
      </c>
      <c r="D981" s="7" t="s">
        <v>4124</v>
      </c>
      <c r="E981" s="7" t="s">
        <v>4116</v>
      </c>
      <c r="F981" s="7" t="s">
        <v>4440</v>
      </c>
      <c r="G981" s="7" t="s">
        <v>5002</v>
      </c>
      <c r="J981" s="131">
        <v>13139</v>
      </c>
      <c r="K981" s="34">
        <f t="shared" si="20"/>
        <v>7830.8440000000001</v>
      </c>
      <c r="L981" t="s">
        <v>4139</v>
      </c>
    </row>
    <row r="982" spans="2:12" x14ac:dyDescent="0.25">
      <c r="B982" s="53" t="s">
        <v>4975</v>
      </c>
      <c r="C982" s="132" t="s">
        <v>4995</v>
      </c>
      <c r="D982" s="7" t="s">
        <v>4125</v>
      </c>
      <c r="E982" s="7" t="s">
        <v>4116</v>
      </c>
      <c r="F982" s="7" t="s">
        <v>4441</v>
      </c>
      <c r="G982" s="7" t="s">
        <v>5002</v>
      </c>
      <c r="J982" s="131">
        <v>15740</v>
      </c>
      <c r="K982" s="34">
        <f t="shared" si="20"/>
        <v>9381.0399999999991</v>
      </c>
      <c r="L982" t="s">
        <v>4139</v>
      </c>
    </row>
    <row r="983" spans="2:12" x14ac:dyDescent="0.25">
      <c r="B983" s="53" t="s">
        <v>4976</v>
      </c>
      <c r="C983" s="132" t="s">
        <v>4995</v>
      </c>
      <c r="D983" s="7" t="s">
        <v>4126</v>
      </c>
      <c r="E983" s="7" t="s">
        <v>4116</v>
      </c>
      <c r="F983" s="7" t="s">
        <v>4442</v>
      </c>
      <c r="G983" s="7" t="s">
        <v>5002</v>
      </c>
      <c r="J983" s="131">
        <v>15740</v>
      </c>
      <c r="K983" s="34">
        <f t="shared" si="20"/>
        <v>9381.0399999999991</v>
      </c>
      <c r="L983" t="s">
        <v>4139</v>
      </c>
    </row>
    <row r="984" spans="2:12" x14ac:dyDescent="0.25">
      <c r="B984" s="53" t="s">
        <v>4977</v>
      </c>
      <c r="C984" s="132" t="s">
        <v>4995</v>
      </c>
      <c r="D984" s="7" t="s">
        <v>4127</v>
      </c>
      <c r="E984" s="7" t="s">
        <v>4116</v>
      </c>
      <c r="F984" s="7" t="s">
        <v>4443</v>
      </c>
      <c r="G984" s="7" t="s">
        <v>5002</v>
      </c>
      <c r="J984" s="131">
        <v>15740</v>
      </c>
      <c r="K984" s="34">
        <f t="shared" si="20"/>
        <v>9381.0399999999991</v>
      </c>
      <c r="L984" t="s">
        <v>4139</v>
      </c>
    </row>
    <row r="985" spans="2:12" x14ac:dyDescent="0.25">
      <c r="B985" s="53" t="s">
        <v>4978</v>
      </c>
      <c r="C985" s="132" t="s">
        <v>4995</v>
      </c>
      <c r="D985" s="7" t="s">
        <v>674</v>
      </c>
      <c r="E985" s="7" t="s">
        <v>4116</v>
      </c>
      <c r="F985" s="7" t="s">
        <v>4444</v>
      </c>
      <c r="G985" s="7" t="s">
        <v>5002</v>
      </c>
      <c r="J985" s="131">
        <v>15740</v>
      </c>
      <c r="K985" s="34">
        <f t="shared" si="20"/>
        <v>9381.0399999999991</v>
      </c>
      <c r="L985" t="s">
        <v>4139</v>
      </c>
    </row>
    <row r="986" spans="2:12" x14ac:dyDescent="0.25">
      <c r="B986" s="53" t="s">
        <v>4979</v>
      </c>
      <c r="C986" s="132" t="s">
        <v>4995</v>
      </c>
      <c r="D986" s="7" t="s">
        <v>4128</v>
      </c>
      <c r="E986" s="7" t="s">
        <v>4116</v>
      </c>
      <c r="F986" s="7" t="s">
        <v>4445</v>
      </c>
      <c r="G986" s="7" t="s">
        <v>5002</v>
      </c>
      <c r="J986" s="131">
        <v>12759</v>
      </c>
      <c r="K986" s="34">
        <f t="shared" si="20"/>
        <v>7604.3639999999996</v>
      </c>
      <c r="L986" t="s">
        <v>4139</v>
      </c>
    </row>
    <row r="987" spans="2:12" x14ac:dyDescent="0.25">
      <c r="B987" s="53" t="s">
        <v>4980</v>
      </c>
      <c r="C987" s="132" t="s">
        <v>4995</v>
      </c>
      <c r="D987" s="7" t="s">
        <v>4129</v>
      </c>
      <c r="E987" s="7" t="s">
        <v>4116</v>
      </c>
      <c r="F987" s="7" t="s">
        <v>4446</v>
      </c>
      <c r="G987" s="7" t="s">
        <v>5002</v>
      </c>
      <c r="J987" s="131">
        <v>12759</v>
      </c>
      <c r="K987" s="34">
        <f t="shared" si="20"/>
        <v>7604.3639999999996</v>
      </c>
      <c r="L987" t="s">
        <v>4139</v>
      </c>
    </row>
    <row r="988" spans="2:12" x14ac:dyDescent="0.25">
      <c r="B988" s="53" t="s">
        <v>4981</v>
      </c>
      <c r="C988" s="132" t="s">
        <v>4995</v>
      </c>
      <c r="D988" s="7" t="s">
        <v>4130</v>
      </c>
      <c r="E988" s="7" t="s">
        <v>4116</v>
      </c>
      <c r="F988" s="7" t="s">
        <v>4447</v>
      </c>
      <c r="G988" s="7" t="s">
        <v>5002</v>
      </c>
      <c r="J988" s="131">
        <v>12759</v>
      </c>
      <c r="K988" s="34">
        <f t="shared" si="20"/>
        <v>7604.3639999999996</v>
      </c>
      <c r="L988" t="s">
        <v>4139</v>
      </c>
    </row>
    <row r="989" spans="2:12" x14ac:dyDescent="0.25">
      <c r="B989" s="53" t="s">
        <v>4982</v>
      </c>
      <c r="C989" s="132" t="s">
        <v>4995</v>
      </c>
      <c r="D989" s="7" t="s">
        <v>4131</v>
      </c>
      <c r="E989" s="7" t="s">
        <v>4116</v>
      </c>
      <c r="F989" s="7" t="s">
        <v>4448</v>
      </c>
      <c r="G989" s="7" t="s">
        <v>5002</v>
      </c>
      <c r="J989" s="131">
        <v>13139</v>
      </c>
      <c r="K989" s="34">
        <f t="shared" si="20"/>
        <v>7830.8440000000001</v>
      </c>
      <c r="L989" t="s">
        <v>4139</v>
      </c>
    </row>
    <row r="990" spans="2:12" x14ac:dyDescent="0.25">
      <c r="B990" s="53" t="s">
        <v>4983</v>
      </c>
      <c r="C990" s="132" t="s">
        <v>4995</v>
      </c>
      <c r="D990" s="7" t="s">
        <v>4132</v>
      </c>
      <c r="E990" s="7" t="s">
        <v>4116</v>
      </c>
      <c r="F990" s="7" t="s">
        <v>4449</v>
      </c>
      <c r="G990" s="7" t="s">
        <v>5002</v>
      </c>
      <c r="J990" s="131">
        <v>13139</v>
      </c>
      <c r="K990" s="34">
        <f t="shared" si="20"/>
        <v>7830.8440000000001</v>
      </c>
      <c r="L990" t="s">
        <v>4139</v>
      </c>
    </row>
    <row r="991" spans="2:12" x14ac:dyDescent="0.25">
      <c r="B991" s="53" t="s">
        <v>4984</v>
      </c>
      <c r="C991" s="132" t="s">
        <v>4995</v>
      </c>
      <c r="D991" s="7" t="s">
        <v>4133</v>
      </c>
      <c r="E991" s="7" t="s">
        <v>4116</v>
      </c>
      <c r="F991" s="7" t="s">
        <v>4450</v>
      </c>
      <c r="G991" s="7" t="s">
        <v>5002</v>
      </c>
      <c r="J991" s="131">
        <v>13139</v>
      </c>
      <c r="K991" s="34">
        <f t="shared" si="20"/>
        <v>7830.8440000000001</v>
      </c>
      <c r="L991" t="s">
        <v>4139</v>
      </c>
    </row>
    <row r="992" spans="2:12" x14ac:dyDescent="0.25">
      <c r="B992" s="53" t="s">
        <v>4985</v>
      </c>
      <c r="C992" s="132" t="s">
        <v>4995</v>
      </c>
      <c r="D992" s="7" t="s">
        <v>4134</v>
      </c>
      <c r="E992" s="7" t="s">
        <v>4116</v>
      </c>
      <c r="F992" s="7" t="s">
        <v>4451</v>
      </c>
      <c r="G992" s="7" t="s">
        <v>5002</v>
      </c>
      <c r="J992" s="131">
        <v>13139</v>
      </c>
      <c r="K992" s="34">
        <f t="shared" si="20"/>
        <v>7830.8440000000001</v>
      </c>
      <c r="L992" t="s">
        <v>4139</v>
      </c>
    </row>
    <row r="993" spans="2:12" x14ac:dyDescent="0.25">
      <c r="B993" s="53" t="s">
        <v>4986</v>
      </c>
      <c r="C993" s="132" t="s">
        <v>4995</v>
      </c>
      <c r="D993" s="7" t="s">
        <v>4135</v>
      </c>
      <c r="E993" s="7" t="s">
        <v>4116</v>
      </c>
      <c r="F993" s="7" t="s">
        <v>4452</v>
      </c>
      <c r="G993" s="7" t="s">
        <v>5002</v>
      </c>
      <c r="J993" s="131">
        <v>15740</v>
      </c>
      <c r="K993" s="34">
        <f t="shared" si="20"/>
        <v>9381.0399999999991</v>
      </c>
      <c r="L993" t="s">
        <v>4139</v>
      </c>
    </row>
    <row r="994" spans="2:12" x14ac:dyDescent="0.25">
      <c r="B994" s="53" t="s">
        <v>4987</v>
      </c>
      <c r="C994" s="132" t="s">
        <v>4995</v>
      </c>
      <c r="D994" s="7" t="s">
        <v>4136</v>
      </c>
      <c r="E994" s="7" t="s">
        <v>4116</v>
      </c>
      <c r="F994" s="7" t="s">
        <v>4453</v>
      </c>
      <c r="G994" s="7" t="s">
        <v>5002</v>
      </c>
      <c r="J994" s="131">
        <v>15740</v>
      </c>
      <c r="K994" s="34">
        <f t="shared" si="20"/>
        <v>9381.0399999999991</v>
      </c>
      <c r="L994" t="s">
        <v>4139</v>
      </c>
    </row>
    <row r="995" spans="2:12" x14ac:dyDescent="0.25">
      <c r="B995" s="53" t="s">
        <v>4988</v>
      </c>
      <c r="C995" s="132" t="s">
        <v>4995</v>
      </c>
      <c r="D995" s="7" t="s">
        <v>4137</v>
      </c>
      <c r="E995" s="7" t="s">
        <v>4116</v>
      </c>
      <c r="F995" s="7" t="s">
        <v>4454</v>
      </c>
      <c r="G995" s="7" t="s">
        <v>5002</v>
      </c>
      <c r="J995" s="131">
        <v>15740</v>
      </c>
      <c r="K995" s="34">
        <f t="shared" si="20"/>
        <v>9381.0399999999991</v>
      </c>
      <c r="L995" t="s">
        <v>4139</v>
      </c>
    </row>
    <row r="996" spans="2:12" x14ac:dyDescent="0.25">
      <c r="B996" s="53" t="s">
        <v>4989</v>
      </c>
      <c r="C996" s="132" t="s">
        <v>4995</v>
      </c>
      <c r="D996" s="7" t="s">
        <v>687</v>
      </c>
      <c r="E996" s="7" t="s">
        <v>4116</v>
      </c>
      <c r="F996" s="7" t="s">
        <v>4455</v>
      </c>
      <c r="G996" s="7" t="s">
        <v>5002</v>
      </c>
      <c r="J996" s="131">
        <v>15740</v>
      </c>
      <c r="K996" s="34">
        <f t="shared" si="20"/>
        <v>9381.0399999999991</v>
      </c>
      <c r="L996" t="s">
        <v>4139</v>
      </c>
    </row>
  </sheetData>
  <pageMargins left="0.25" right="0.25" top="0.75" bottom="0.75" header="0.3" footer="0.3"/>
  <pageSetup scale="33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2C9BC-4A5B-47E3-9E72-4D2A37462553}">
  <sheetPr>
    <pageSetUpPr fitToPage="1"/>
  </sheetPr>
  <dimension ref="A1:J137"/>
  <sheetViews>
    <sheetView topLeftCell="C1" zoomScale="75" zoomScaleNormal="75" workbookViewId="0">
      <selection activeCell="J4" sqref="J4"/>
    </sheetView>
  </sheetViews>
  <sheetFormatPr defaultRowHeight="15" x14ac:dyDescent="0.25"/>
  <cols>
    <col min="1" max="1" width="48.28515625" customWidth="1"/>
    <col min="2" max="2" width="36" customWidth="1"/>
    <col min="3" max="3" width="93.5703125" style="97" customWidth="1"/>
    <col min="4" max="4" width="40.7109375" customWidth="1"/>
    <col min="5" max="5" width="49.85546875" style="97" customWidth="1"/>
    <col min="6" max="6" width="38.85546875" customWidth="1"/>
    <col min="7" max="7" width="45.5703125" customWidth="1"/>
    <col min="8" max="8" width="0.140625" hidden="1" customWidth="1"/>
    <col min="9" max="9" width="16.85546875" customWidth="1"/>
    <col min="10" max="10" width="24.140625" customWidth="1"/>
  </cols>
  <sheetData>
    <row r="1" spans="1:10" s="4" customFormat="1" ht="43.5" customHeight="1" x14ac:dyDescent="0.25">
      <c r="A1" s="57"/>
      <c r="B1" s="57" t="s">
        <v>3</v>
      </c>
      <c r="C1" s="95" t="s">
        <v>3071</v>
      </c>
      <c r="D1" s="57" t="s">
        <v>4</v>
      </c>
      <c r="E1" s="95" t="s">
        <v>3070</v>
      </c>
      <c r="F1" s="57" t="s">
        <v>2598</v>
      </c>
      <c r="G1" s="57" t="s">
        <v>3081</v>
      </c>
      <c r="H1" s="12" t="s">
        <v>3202</v>
      </c>
      <c r="I1" s="12" t="s">
        <v>3214</v>
      </c>
      <c r="J1" s="12" t="s">
        <v>3215</v>
      </c>
    </row>
    <row r="2" spans="1:10" s="61" customFormat="1" ht="19.5" customHeight="1" x14ac:dyDescent="0.25">
      <c r="A2" s="81"/>
      <c r="B2" s="81" t="s">
        <v>3142</v>
      </c>
      <c r="C2" s="96"/>
      <c r="D2" s="81"/>
      <c r="E2" s="96"/>
      <c r="F2" s="81"/>
      <c r="G2" s="81"/>
      <c r="H2" s="81"/>
      <c r="I2" s="81"/>
      <c r="J2" s="81"/>
    </row>
    <row r="3" spans="1:10" ht="30" x14ac:dyDescent="0.25">
      <c r="A3" s="7"/>
      <c r="B3" s="7" t="s">
        <v>2473</v>
      </c>
      <c r="C3" s="86" t="s">
        <v>2958</v>
      </c>
      <c r="D3" s="7" t="s">
        <v>3190</v>
      </c>
      <c r="E3" s="86" t="s">
        <v>3216</v>
      </c>
      <c r="F3" s="7" t="s">
        <v>2937</v>
      </c>
      <c r="G3" s="7" t="s">
        <v>3080</v>
      </c>
      <c r="H3" s="58">
        <v>2941</v>
      </c>
      <c r="I3" s="102">
        <f>1900+1276+31</f>
        <v>3207</v>
      </c>
      <c r="J3" s="58">
        <f>I3*0.596</f>
        <v>1911.3719999999998</v>
      </c>
    </row>
    <row r="4" spans="1:10" ht="30" x14ac:dyDescent="0.25">
      <c r="A4" s="7"/>
      <c r="B4" s="7" t="s">
        <v>2474</v>
      </c>
      <c r="C4" s="86" t="s">
        <v>2959</v>
      </c>
      <c r="D4" s="7" t="s">
        <v>3190</v>
      </c>
      <c r="E4" s="86" t="s">
        <v>3217</v>
      </c>
      <c r="F4" s="7" t="s">
        <v>2937</v>
      </c>
      <c r="G4" s="7" t="s">
        <v>3082</v>
      </c>
      <c r="H4" s="58">
        <v>1759</v>
      </c>
      <c r="I4" s="102">
        <f>1900+31</f>
        <v>1931</v>
      </c>
      <c r="J4" s="58">
        <f t="shared" ref="J4:J67" si="0">I4*0.596</f>
        <v>1150.876</v>
      </c>
    </row>
    <row r="5" spans="1:10" ht="30" x14ac:dyDescent="0.25">
      <c r="A5" s="7"/>
      <c r="B5" s="7" t="s">
        <v>2475</v>
      </c>
      <c r="C5" s="86" t="s">
        <v>2960</v>
      </c>
      <c r="D5" s="7" t="s">
        <v>3190</v>
      </c>
      <c r="E5" s="86" t="s">
        <v>3216</v>
      </c>
      <c r="F5" s="7" t="s">
        <v>2937</v>
      </c>
      <c r="G5" s="7" t="s">
        <v>3083</v>
      </c>
      <c r="H5" s="58">
        <v>3038</v>
      </c>
      <c r="I5" s="102">
        <f>2004+1276+31</f>
        <v>3311</v>
      </c>
      <c r="J5" s="58">
        <f t="shared" si="0"/>
        <v>1973.356</v>
      </c>
    </row>
    <row r="6" spans="1:10" ht="30" x14ac:dyDescent="0.25">
      <c r="A6" s="7"/>
      <c r="B6" s="7" t="s">
        <v>2476</v>
      </c>
      <c r="C6" s="86" t="s">
        <v>2961</v>
      </c>
      <c r="D6" s="7" t="s">
        <v>3190</v>
      </c>
      <c r="E6" s="86" t="s">
        <v>3217</v>
      </c>
      <c r="F6" s="7" t="s">
        <v>2937</v>
      </c>
      <c r="G6" s="7" t="s">
        <v>3084</v>
      </c>
      <c r="H6" s="58">
        <v>1856</v>
      </c>
      <c r="I6" s="102">
        <f>2004+31</f>
        <v>2035</v>
      </c>
      <c r="J6" s="58">
        <f t="shared" si="0"/>
        <v>1212.8599999999999</v>
      </c>
    </row>
    <row r="7" spans="1:10" ht="30" x14ac:dyDescent="0.25">
      <c r="A7" s="7"/>
      <c r="B7" s="7" t="s">
        <v>2477</v>
      </c>
      <c r="C7" s="86" t="s">
        <v>2962</v>
      </c>
      <c r="D7" s="7" t="s">
        <v>3190</v>
      </c>
      <c r="E7" s="86" t="s">
        <v>3218</v>
      </c>
      <c r="F7" s="7" t="s">
        <v>2937</v>
      </c>
      <c r="G7" s="7" t="s">
        <v>3085</v>
      </c>
      <c r="H7" s="58">
        <v>2799</v>
      </c>
      <c r="I7" s="102">
        <f>1746+1276+31</f>
        <v>3053</v>
      </c>
      <c r="J7" s="58">
        <f t="shared" si="0"/>
        <v>1819.588</v>
      </c>
    </row>
    <row r="8" spans="1:10" ht="30" x14ac:dyDescent="0.25">
      <c r="A8" s="7"/>
      <c r="B8" s="7" t="s">
        <v>2478</v>
      </c>
      <c r="C8" s="86" t="s">
        <v>2963</v>
      </c>
      <c r="D8" s="7" t="s">
        <v>3190</v>
      </c>
      <c r="E8" s="86" t="s">
        <v>3219</v>
      </c>
      <c r="F8" s="7" t="s">
        <v>2937</v>
      </c>
      <c r="G8" s="7" t="s">
        <v>3086</v>
      </c>
      <c r="H8" s="58">
        <v>1617</v>
      </c>
      <c r="I8" s="102">
        <f>1746+31</f>
        <v>1777</v>
      </c>
      <c r="J8" s="58">
        <f t="shared" si="0"/>
        <v>1059.0919999999999</v>
      </c>
    </row>
    <row r="9" spans="1:10" ht="30" x14ac:dyDescent="0.25">
      <c r="A9" s="7"/>
      <c r="B9" s="7" t="s">
        <v>2479</v>
      </c>
      <c r="C9" s="86" t="s">
        <v>2964</v>
      </c>
      <c r="D9" s="7" t="s">
        <v>3190</v>
      </c>
      <c r="E9" s="86" t="s">
        <v>3220</v>
      </c>
      <c r="F9" s="7" t="s">
        <v>2937</v>
      </c>
      <c r="G9" s="7" t="s">
        <v>3087</v>
      </c>
      <c r="H9" s="58">
        <f>H10+1182</f>
        <v>3200</v>
      </c>
      <c r="I9" s="102">
        <f t="shared" ref="I9:I14" si="1">I3+279</f>
        <v>3486</v>
      </c>
      <c r="J9" s="58">
        <f t="shared" si="0"/>
        <v>2077.6559999999999</v>
      </c>
    </row>
    <row r="10" spans="1:10" ht="30" x14ac:dyDescent="0.25">
      <c r="A10" s="7"/>
      <c r="B10" s="7" t="s">
        <v>2480</v>
      </c>
      <c r="C10" s="86" t="s">
        <v>2965</v>
      </c>
      <c r="D10" s="7" t="s">
        <v>3190</v>
      </c>
      <c r="E10" s="86" t="s">
        <v>3221</v>
      </c>
      <c r="F10" s="7" t="s">
        <v>2937</v>
      </c>
      <c r="G10" s="7" t="s">
        <v>3088</v>
      </c>
      <c r="H10" s="58">
        <f>H4+259</f>
        <v>2018</v>
      </c>
      <c r="I10" s="102">
        <f t="shared" si="1"/>
        <v>2210</v>
      </c>
      <c r="J10" s="58">
        <f t="shared" si="0"/>
        <v>1317.1599999999999</v>
      </c>
    </row>
    <row r="11" spans="1:10" ht="30" x14ac:dyDescent="0.25">
      <c r="A11" s="7"/>
      <c r="B11" s="7" t="s">
        <v>2481</v>
      </c>
      <c r="C11" s="86" t="s">
        <v>2966</v>
      </c>
      <c r="D11" s="7" t="s">
        <v>3190</v>
      </c>
      <c r="E11" s="86" t="s">
        <v>3220</v>
      </c>
      <c r="F11" s="7" t="s">
        <v>2937</v>
      </c>
      <c r="G11" s="7" t="s">
        <v>3089</v>
      </c>
      <c r="H11" s="58">
        <f>H12+1182</f>
        <v>3297</v>
      </c>
      <c r="I11" s="102">
        <f t="shared" si="1"/>
        <v>3590</v>
      </c>
      <c r="J11" s="58">
        <f t="shared" si="0"/>
        <v>2139.64</v>
      </c>
    </row>
    <row r="12" spans="1:10" ht="30" x14ac:dyDescent="0.25">
      <c r="A12" s="7"/>
      <c r="B12" s="7" t="s">
        <v>2482</v>
      </c>
      <c r="C12" s="86" t="s">
        <v>2967</v>
      </c>
      <c r="D12" s="7" t="s">
        <v>3190</v>
      </c>
      <c r="E12" s="86" t="s">
        <v>3221</v>
      </c>
      <c r="F12" s="7" t="s">
        <v>2937</v>
      </c>
      <c r="G12" s="7" t="s">
        <v>3090</v>
      </c>
      <c r="H12" s="58">
        <f>H6+259</f>
        <v>2115</v>
      </c>
      <c r="I12" s="102">
        <f t="shared" si="1"/>
        <v>2314</v>
      </c>
      <c r="J12" s="58">
        <f t="shared" si="0"/>
        <v>1379.144</v>
      </c>
    </row>
    <row r="13" spans="1:10" ht="30" x14ac:dyDescent="0.25">
      <c r="A13" s="7"/>
      <c r="B13" s="7" t="s">
        <v>2483</v>
      </c>
      <c r="C13" s="86" t="s">
        <v>2968</v>
      </c>
      <c r="D13" s="7" t="s">
        <v>3190</v>
      </c>
      <c r="E13" s="86" t="s">
        <v>3222</v>
      </c>
      <c r="F13" s="7" t="s">
        <v>2937</v>
      </c>
      <c r="G13" s="7" t="s">
        <v>3091</v>
      </c>
      <c r="H13" s="58">
        <f>H14+1182</f>
        <v>3058</v>
      </c>
      <c r="I13" s="102">
        <f t="shared" si="1"/>
        <v>3332</v>
      </c>
      <c r="J13" s="58">
        <f t="shared" si="0"/>
        <v>1985.8719999999998</v>
      </c>
    </row>
    <row r="14" spans="1:10" ht="30" x14ac:dyDescent="0.25">
      <c r="A14" s="7"/>
      <c r="B14" s="7" t="s">
        <v>2484</v>
      </c>
      <c r="C14" s="86" t="s">
        <v>2969</v>
      </c>
      <c r="D14" s="7" t="s">
        <v>3190</v>
      </c>
      <c r="E14" s="86" t="s">
        <v>3223</v>
      </c>
      <c r="F14" s="7" t="s">
        <v>2937</v>
      </c>
      <c r="G14" s="7" t="s">
        <v>3092</v>
      </c>
      <c r="H14" s="58">
        <f>H8+259</f>
        <v>1876</v>
      </c>
      <c r="I14" s="102">
        <f t="shared" si="1"/>
        <v>2056</v>
      </c>
      <c r="J14" s="58">
        <f t="shared" si="0"/>
        <v>1225.376</v>
      </c>
    </row>
    <row r="15" spans="1:10" ht="30" x14ac:dyDescent="0.25">
      <c r="A15" s="7"/>
      <c r="B15" s="7" t="s">
        <v>2485</v>
      </c>
      <c r="C15" s="86" t="s">
        <v>2970</v>
      </c>
      <c r="D15" s="7" t="s">
        <v>3190</v>
      </c>
      <c r="E15" s="86" t="s">
        <v>3216</v>
      </c>
      <c r="F15" s="7" t="s">
        <v>2937</v>
      </c>
      <c r="G15" s="7" t="s">
        <v>3080</v>
      </c>
      <c r="H15" s="58">
        <v>2941</v>
      </c>
      <c r="I15" s="102">
        <f>1900+1276+31</f>
        <v>3207</v>
      </c>
      <c r="J15" s="58">
        <f t="shared" si="0"/>
        <v>1911.3719999999998</v>
      </c>
    </row>
    <row r="16" spans="1:10" ht="30" x14ac:dyDescent="0.25">
      <c r="A16" s="7"/>
      <c r="B16" s="7" t="s">
        <v>2486</v>
      </c>
      <c r="C16" s="86" t="s">
        <v>2971</v>
      </c>
      <c r="D16" s="7" t="s">
        <v>3190</v>
      </c>
      <c r="E16" s="86" t="s">
        <v>3217</v>
      </c>
      <c r="F16" s="7" t="s">
        <v>2937</v>
      </c>
      <c r="G16" s="7" t="s">
        <v>3082</v>
      </c>
      <c r="H16" s="58">
        <v>1759</v>
      </c>
      <c r="I16" s="102">
        <f>1900+31</f>
        <v>1931</v>
      </c>
      <c r="J16" s="58">
        <f t="shared" si="0"/>
        <v>1150.876</v>
      </c>
    </row>
    <row r="17" spans="1:10" ht="30" x14ac:dyDescent="0.25">
      <c r="A17" s="7"/>
      <c r="B17" s="7" t="s">
        <v>2487</v>
      </c>
      <c r="C17" s="86" t="s">
        <v>2972</v>
      </c>
      <c r="D17" s="7" t="s">
        <v>3190</v>
      </c>
      <c r="E17" s="86" t="s">
        <v>3216</v>
      </c>
      <c r="F17" s="7" t="s">
        <v>2937</v>
      </c>
      <c r="G17" s="7" t="s">
        <v>3083</v>
      </c>
      <c r="H17" s="58">
        <v>3038</v>
      </c>
      <c r="I17" s="102">
        <f>2004+1276+31</f>
        <v>3311</v>
      </c>
      <c r="J17" s="58">
        <f t="shared" si="0"/>
        <v>1973.356</v>
      </c>
    </row>
    <row r="18" spans="1:10" ht="30" x14ac:dyDescent="0.25">
      <c r="A18" s="7"/>
      <c r="B18" s="7" t="s">
        <v>2488</v>
      </c>
      <c r="C18" s="86" t="s">
        <v>2973</v>
      </c>
      <c r="D18" s="7" t="s">
        <v>3190</v>
      </c>
      <c r="E18" s="86" t="s">
        <v>3217</v>
      </c>
      <c r="F18" s="7" t="s">
        <v>2937</v>
      </c>
      <c r="G18" s="7" t="s">
        <v>3084</v>
      </c>
      <c r="H18" s="58">
        <v>1856</v>
      </c>
      <c r="I18" s="102">
        <f>2004+31</f>
        <v>2035</v>
      </c>
      <c r="J18" s="58">
        <f t="shared" si="0"/>
        <v>1212.8599999999999</v>
      </c>
    </row>
    <row r="19" spans="1:10" ht="30" x14ac:dyDescent="0.25">
      <c r="A19" s="7"/>
      <c r="B19" s="7" t="s">
        <v>2489</v>
      </c>
      <c r="C19" s="86" t="s">
        <v>2974</v>
      </c>
      <c r="D19" s="7" t="s">
        <v>3190</v>
      </c>
      <c r="E19" s="86" t="s">
        <v>3218</v>
      </c>
      <c r="F19" s="7" t="s">
        <v>2937</v>
      </c>
      <c r="G19" s="7" t="s">
        <v>3085</v>
      </c>
      <c r="H19" s="58">
        <v>2799</v>
      </c>
      <c r="I19" s="102">
        <f>1746+1276+31</f>
        <v>3053</v>
      </c>
      <c r="J19" s="58">
        <f t="shared" si="0"/>
        <v>1819.588</v>
      </c>
    </row>
    <row r="20" spans="1:10" ht="30" x14ac:dyDescent="0.25">
      <c r="A20" s="7"/>
      <c r="B20" s="7" t="s">
        <v>2490</v>
      </c>
      <c r="C20" s="86" t="s">
        <v>2975</v>
      </c>
      <c r="D20" s="7" t="s">
        <v>3190</v>
      </c>
      <c r="E20" s="86" t="s">
        <v>3219</v>
      </c>
      <c r="F20" s="7" t="s">
        <v>2937</v>
      </c>
      <c r="G20" s="7" t="s">
        <v>3086</v>
      </c>
      <c r="H20" s="58">
        <v>1617</v>
      </c>
      <c r="I20" s="102">
        <f>1746+31</f>
        <v>1777</v>
      </c>
      <c r="J20" s="58">
        <f t="shared" si="0"/>
        <v>1059.0919999999999</v>
      </c>
    </row>
    <row r="21" spans="1:10" ht="30" x14ac:dyDescent="0.25">
      <c r="A21" s="7"/>
      <c r="B21" s="7" t="s">
        <v>2491</v>
      </c>
      <c r="C21" s="86" t="s">
        <v>2976</v>
      </c>
      <c r="D21" s="7" t="s">
        <v>3190</v>
      </c>
      <c r="E21" s="86" t="s">
        <v>3220</v>
      </c>
      <c r="F21" s="7" t="s">
        <v>2937</v>
      </c>
      <c r="G21" s="7" t="s">
        <v>3087</v>
      </c>
      <c r="H21" s="58">
        <f>H22+1182</f>
        <v>3200</v>
      </c>
      <c r="I21" s="102">
        <f t="shared" ref="I21:I26" si="2">I15+279</f>
        <v>3486</v>
      </c>
      <c r="J21" s="58">
        <f t="shared" si="0"/>
        <v>2077.6559999999999</v>
      </c>
    </row>
    <row r="22" spans="1:10" ht="30" x14ac:dyDescent="0.25">
      <c r="A22" s="7"/>
      <c r="B22" s="7" t="s">
        <v>2492</v>
      </c>
      <c r="C22" s="86" t="s">
        <v>2977</v>
      </c>
      <c r="D22" s="7" t="s">
        <v>3190</v>
      </c>
      <c r="E22" s="86" t="s">
        <v>3221</v>
      </c>
      <c r="F22" s="7" t="s">
        <v>2937</v>
      </c>
      <c r="G22" s="7" t="s">
        <v>3088</v>
      </c>
      <c r="H22" s="58">
        <f>H16+259</f>
        <v>2018</v>
      </c>
      <c r="I22" s="102">
        <f t="shared" si="2"/>
        <v>2210</v>
      </c>
      <c r="J22" s="58">
        <f t="shared" si="0"/>
        <v>1317.1599999999999</v>
      </c>
    </row>
    <row r="23" spans="1:10" ht="30" x14ac:dyDescent="0.25">
      <c r="A23" s="7"/>
      <c r="B23" s="7" t="s">
        <v>2493</v>
      </c>
      <c r="C23" s="86" t="s">
        <v>2978</v>
      </c>
      <c r="D23" s="7" t="s">
        <v>3190</v>
      </c>
      <c r="E23" s="86" t="s">
        <v>3220</v>
      </c>
      <c r="F23" s="7" t="s">
        <v>2937</v>
      </c>
      <c r="G23" s="7" t="s">
        <v>3089</v>
      </c>
      <c r="H23" s="58">
        <f>H24+1182</f>
        <v>3297</v>
      </c>
      <c r="I23" s="102">
        <f t="shared" si="2"/>
        <v>3590</v>
      </c>
      <c r="J23" s="58">
        <f t="shared" si="0"/>
        <v>2139.64</v>
      </c>
    </row>
    <row r="24" spans="1:10" ht="30" x14ac:dyDescent="0.25">
      <c r="A24" s="7"/>
      <c r="B24" s="7" t="s">
        <v>2494</v>
      </c>
      <c r="C24" s="86" t="s">
        <v>2979</v>
      </c>
      <c r="D24" s="7" t="s">
        <v>3190</v>
      </c>
      <c r="E24" s="86" t="s">
        <v>3221</v>
      </c>
      <c r="F24" s="7" t="s">
        <v>2937</v>
      </c>
      <c r="G24" s="7" t="s">
        <v>3090</v>
      </c>
      <c r="H24" s="58">
        <f>H18+259</f>
        <v>2115</v>
      </c>
      <c r="I24" s="102">
        <f t="shared" si="2"/>
        <v>2314</v>
      </c>
      <c r="J24" s="58">
        <f t="shared" si="0"/>
        <v>1379.144</v>
      </c>
    </row>
    <row r="25" spans="1:10" ht="30" x14ac:dyDescent="0.25">
      <c r="A25" s="7"/>
      <c r="B25" s="7" t="s">
        <v>2495</v>
      </c>
      <c r="C25" s="86" t="s">
        <v>2980</v>
      </c>
      <c r="D25" s="7" t="s">
        <v>3190</v>
      </c>
      <c r="E25" s="86" t="s">
        <v>3222</v>
      </c>
      <c r="F25" s="7" t="s">
        <v>2937</v>
      </c>
      <c r="G25" s="7" t="s">
        <v>3091</v>
      </c>
      <c r="H25" s="58">
        <f>H26+1182</f>
        <v>3058</v>
      </c>
      <c r="I25" s="102">
        <f t="shared" si="2"/>
        <v>3332</v>
      </c>
      <c r="J25" s="58">
        <f t="shared" si="0"/>
        <v>1985.8719999999998</v>
      </c>
    </row>
    <row r="26" spans="1:10" ht="30" x14ac:dyDescent="0.25">
      <c r="A26" s="7"/>
      <c r="B26" s="7" t="s">
        <v>2496</v>
      </c>
      <c r="C26" s="86" t="s">
        <v>2981</v>
      </c>
      <c r="D26" s="7" t="s">
        <v>3190</v>
      </c>
      <c r="E26" s="86" t="s">
        <v>3223</v>
      </c>
      <c r="F26" s="7" t="s">
        <v>2937</v>
      </c>
      <c r="G26" s="7" t="s">
        <v>3092</v>
      </c>
      <c r="H26" s="58">
        <f>H20+259</f>
        <v>1876</v>
      </c>
      <c r="I26" s="102">
        <f t="shared" si="2"/>
        <v>2056</v>
      </c>
      <c r="J26" s="58">
        <f t="shared" si="0"/>
        <v>1225.376</v>
      </c>
    </row>
    <row r="27" spans="1:10" ht="30" x14ac:dyDescent="0.25">
      <c r="A27" s="7"/>
      <c r="B27" s="7" t="s">
        <v>2497</v>
      </c>
      <c r="C27" s="86" t="s">
        <v>2982</v>
      </c>
      <c r="D27" s="7" t="s">
        <v>3190</v>
      </c>
      <c r="E27" s="86" t="s">
        <v>3216</v>
      </c>
      <c r="F27" s="7" t="s">
        <v>2937</v>
      </c>
      <c r="G27" s="7" t="s">
        <v>3093</v>
      </c>
      <c r="H27" s="58">
        <v>3775</v>
      </c>
      <c r="I27" s="102">
        <f>2800+1276+31</f>
        <v>4107</v>
      </c>
      <c r="J27" s="58">
        <f t="shared" si="0"/>
        <v>2447.7719999999999</v>
      </c>
    </row>
    <row r="28" spans="1:10" ht="30" x14ac:dyDescent="0.25">
      <c r="A28" s="7"/>
      <c r="B28" s="7" t="s">
        <v>2498</v>
      </c>
      <c r="C28" s="86" t="s">
        <v>2983</v>
      </c>
      <c r="D28" s="7" t="s">
        <v>3190</v>
      </c>
      <c r="E28" s="86" t="s">
        <v>3217</v>
      </c>
      <c r="F28" s="7" t="s">
        <v>2937</v>
      </c>
      <c r="G28" s="7" t="s">
        <v>3094</v>
      </c>
      <c r="H28" s="58">
        <v>2593</v>
      </c>
      <c r="I28" s="102">
        <f>2800+31</f>
        <v>2831</v>
      </c>
      <c r="J28" s="58">
        <f t="shared" si="0"/>
        <v>1687.2759999999998</v>
      </c>
    </row>
    <row r="29" spans="1:10" ht="30" x14ac:dyDescent="0.25">
      <c r="A29" s="7"/>
      <c r="B29" s="7" t="s">
        <v>2499</v>
      </c>
      <c r="C29" s="86" t="s">
        <v>2984</v>
      </c>
      <c r="D29" s="7" t="s">
        <v>3190</v>
      </c>
      <c r="E29" s="86" t="s">
        <v>3216</v>
      </c>
      <c r="F29" s="7" t="s">
        <v>2937</v>
      </c>
      <c r="G29" s="7" t="s">
        <v>3095</v>
      </c>
      <c r="H29" s="58">
        <v>4139</v>
      </c>
      <c r="I29" s="102">
        <f>3194+1276+31</f>
        <v>4501</v>
      </c>
      <c r="J29" s="58">
        <f t="shared" si="0"/>
        <v>2682.596</v>
      </c>
    </row>
    <row r="30" spans="1:10" ht="30" x14ac:dyDescent="0.25">
      <c r="A30" s="7"/>
      <c r="B30" s="7" t="s">
        <v>2500</v>
      </c>
      <c r="C30" s="86" t="s">
        <v>2985</v>
      </c>
      <c r="D30" s="7" t="s">
        <v>3190</v>
      </c>
      <c r="E30" s="86" t="s">
        <v>3217</v>
      </c>
      <c r="F30" s="7" t="s">
        <v>2937</v>
      </c>
      <c r="G30" s="7" t="s">
        <v>3096</v>
      </c>
      <c r="H30" s="58">
        <v>2957</v>
      </c>
      <c r="I30" s="102">
        <f>3194+31</f>
        <v>3225</v>
      </c>
      <c r="J30" s="58">
        <f t="shared" si="0"/>
        <v>1922.1</v>
      </c>
    </row>
    <row r="31" spans="1:10" ht="30" x14ac:dyDescent="0.25">
      <c r="A31" s="7"/>
      <c r="B31" s="7" t="s">
        <v>2501</v>
      </c>
      <c r="C31" s="86" t="s">
        <v>2986</v>
      </c>
      <c r="D31" s="7" t="s">
        <v>3190</v>
      </c>
      <c r="E31" s="86" t="s">
        <v>3218</v>
      </c>
      <c r="F31" s="7" t="s">
        <v>2937</v>
      </c>
      <c r="G31" s="7" t="s">
        <v>3097</v>
      </c>
      <c r="H31" s="58">
        <v>3727</v>
      </c>
      <c r="I31" s="102">
        <f>2749+1276+31</f>
        <v>4056</v>
      </c>
      <c r="J31" s="58">
        <f t="shared" si="0"/>
        <v>2417.3759999999997</v>
      </c>
    </row>
    <row r="32" spans="1:10" ht="30" x14ac:dyDescent="0.25">
      <c r="A32" s="7"/>
      <c r="B32" s="7" t="s">
        <v>2502</v>
      </c>
      <c r="C32" s="86" t="s">
        <v>2987</v>
      </c>
      <c r="D32" s="7" t="s">
        <v>3190</v>
      </c>
      <c r="E32" s="86" t="s">
        <v>3219</v>
      </c>
      <c r="F32" s="7" t="s">
        <v>2937</v>
      </c>
      <c r="G32" s="7" t="s">
        <v>3098</v>
      </c>
      <c r="H32" s="58">
        <v>2545</v>
      </c>
      <c r="I32" s="102">
        <f>2749+31</f>
        <v>2780</v>
      </c>
      <c r="J32" s="58">
        <f t="shared" si="0"/>
        <v>1656.8799999999999</v>
      </c>
    </row>
    <row r="33" spans="1:10" ht="30" x14ac:dyDescent="0.25">
      <c r="A33" s="7"/>
      <c r="B33" s="7" t="s">
        <v>2503</v>
      </c>
      <c r="C33" s="86" t="s">
        <v>2988</v>
      </c>
      <c r="D33" s="7" t="s">
        <v>3190</v>
      </c>
      <c r="E33" s="86" t="s">
        <v>3220</v>
      </c>
      <c r="F33" s="7" t="s">
        <v>2937</v>
      </c>
      <c r="G33" s="7" t="s">
        <v>3099</v>
      </c>
      <c r="H33" s="58">
        <f>H34+1182</f>
        <v>4292</v>
      </c>
      <c r="I33" s="102">
        <f t="shared" ref="I33:I38" si="3">I27+557</f>
        <v>4664</v>
      </c>
      <c r="J33" s="58">
        <f t="shared" si="0"/>
        <v>2779.7439999999997</v>
      </c>
    </row>
    <row r="34" spans="1:10" ht="30" x14ac:dyDescent="0.25">
      <c r="A34" s="7"/>
      <c r="B34" s="7" t="s">
        <v>2504</v>
      </c>
      <c r="C34" s="86" t="s">
        <v>2989</v>
      </c>
      <c r="D34" s="7" t="s">
        <v>3190</v>
      </c>
      <c r="E34" s="86" t="s">
        <v>3221</v>
      </c>
      <c r="F34" s="7" t="s">
        <v>2937</v>
      </c>
      <c r="G34" s="7" t="s">
        <v>3100</v>
      </c>
      <c r="H34" s="58">
        <f>H28+517</f>
        <v>3110</v>
      </c>
      <c r="I34" s="102">
        <f t="shared" si="3"/>
        <v>3388</v>
      </c>
      <c r="J34" s="58">
        <f t="shared" si="0"/>
        <v>2019.2479999999998</v>
      </c>
    </row>
    <row r="35" spans="1:10" ht="30" x14ac:dyDescent="0.25">
      <c r="A35" s="7"/>
      <c r="B35" s="7" t="s">
        <v>2505</v>
      </c>
      <c r="C35" s="86" t="s">
        <v>2990</v>
      </c>
      <c r="D35" s="7" t="s">
        <v>3190</v>
      </c>
      <c r="E35" s="86" t="s">
        <v>3220</v>
      </c>
      <c r="F35" s="7" t="s">
        <v>2937</v>
      </c>
      <c r="G35" s="7" t="s">
        <v>3101</v>
      </c>
      <c r="H35" s="58">
        <f>H36+1182</f>
        <v>4656</v>
      </c>
      <c r="I35" s="102">
        <f t="shared" si="3"/>
        <v>5058</v>
      </c>
      <c r="J35" s="58">
        <f t="shared" si="0"/>
        <v>3014.5679999999998</v>
      </c>
    </row>
    <row r="36" spans="1:10" ht="30" x14ac:dyDescent="0.25">
      <c r="A36" s="7"/>
      <c r="B36" s="7" t="s">
        <v>2506</v>
      </c>
      <c r="C36" s="86" t="s">
        <v>2991</v>
      </c>
      <c r="D36" s="7" t="s">
        <v>3190</v>
      </c>
      <c r="E36" s="86" t="s">
        <v>3221</v>
      </c>
      <c r="F36" s="7" t="s">
        <v>2937</v>
      </c>
      <c r="G36" s="7" t="s">
        <v>3102</v>
      </c>
      <c r="H36" s="58">
        <f>H30+517</f>
        <v>3474</v>
      </c>
      <c r="I36" s="102">
        <f t="shared" si="3"/>
        <v>3782</v>
      </c>
      <c r="J36" s="58">
        <f t="shared" si="0"/>
        <v>2254.0720000000001</v>
      </c>
    </row>
    <row r="37" spans="1:10" ht="30" x14ac:dyDescent="0.25">
      <c r="A37" s="7"/>
      <c r="B37" s="7" t="s">
        <v>2507</v>
      </c>
      <c r="C37" s="86" t="s">
        <v>2992</v>
      </c>
      <c r="D37" s="7" t="s">
        <v>3190</v>
      </c>
      <c r="E37" s="86" t="s">
        <v>3222</v>
      </c>
      <c r="F37" s="7" t="s">
        <v>2937</v>
      </c>
      <c r="G37" s="7" t="s">
        <v>3103</v>
      </c>
      <c r="H37" s="58">
        <f>H38+1182</f>
        <v>4244</v>
      </c>
      <c r="I37" s="102">
        <f t="shared" si="3"/>
        <v>4613</v>
      </c>
      <c r="J37" s="58">
        <f t="shared" si="0"/>
        <v>2749.348</v>
      </c>
    </row>
    <row r="38" spans="1:10" ht="30" x14ac:dyDescent="0.25">
      <c r="A38" s="7"/>
      <c r="B38" s="7" t="s">
        <v>2508</v>
      </c>
      <c r="C38" s="86" t="s">
        <v>2993</v>
      </c>
      <c r="D38" s="7" t="s">
        <v>3190</v>
      </c>
      <c r="E38" s="86" t="s">
        <v>3223</v>
      </c>
      <c r="F38" s="7" t="s">
        <v>2937</v>
      </c>
      <c r="G38" s="7" t="s">
        <v>3104</v>
      </c>
      <c r="H38" s="58">
        <f>H32+517</f>
        <v>3062</v>
      </c>
      <c r="I38" s="102">
        <f t="shared" si="3"/>
        <v>3337</v>
      </c>
      <c r="J38" s="58">
        <f t="shared" si="0"/>
        <v>1988.8519999999999</v>
      </c>
    </row>
    <row r="39" spans="1:10" ht="30" x14ac:dyDescent="0.25">
      <c r="A39" s="7"/>
      <c r="B39" s="7" t="s">
        <v>2509</v>
      </c>
      <c r="C39" s="86" t="s">
        <v>2994</v>
      </c>
      <c r="D39" s="7" t="s">
        <v>3190</v>
      </c>
      <c r="E39" s="86" t="s">
        <v>3216</v>
      </c>
      <c r="F39" s="7" t="s">
        <v>2937</v>
      </c>
      <c r="G39" s="7" t="s">
        <v>3093</v>
      </c>
      <c r="H39" s="58">
        <v>3775</v>
      </c>
      <c r="I39" s="102">
        <f>2800+1276+31</f>
        <v>4107</v>
      </c>
      <c r="J39" s="58">
        <f t="shared" si="0"/>
        <v>2447.7719999999999</v>
      </c>
    </row>
    <row r="40" spans="1:10" ht="30" x14ac:dyDescent="0.25">
      <c r="A40" s="7"/>
      <c r="B40" s="7" t="s">
        <v>2510</v>
      </c>
      <c r="C40" s="86" t="s">
        <v>2995</v>
      </c>
      <c r="D40" s="7" t="s">
        <v>3190</v>
      </c>
      <c r="E40" s="86" t="s">
        <v>3217</v>
      </c>
      <c r="F40" s="7" t="s">
        <v>2937</v>
      </c>
      <c r="G40" s="7" t="s">
        <v>3094</v>
      </c>
      <c r="H40" s="58">
        <v>2593</v>
      </c>
      <c r="I40" s="102">
        <f>2800+31</f>
        <v>2831</v>
      </c>
      <c r="J40" s="58">
        <f t="shared" si="0"/>
        <v>1687.2759999999998</v>
      </c>
    </row>
    <row r="41" spans="1:10" ht="30" x14ac:dyDescent="0.25">
      <c r="A41" s="7"/>
      <c r="B41" s="7" t="s">
        <v>2511</v>
      </c>
      <c r="C41" s="86" t="s">
        <v>2996</v>
      </c>
      <c r="D41" s="7" t="s">
        <v>3190</v>
      </c>
      <c r="E41" s="86" t="s">
        <v>3216</v>
      </c>
      <c r="F41" s="7" t="s">
        <v>2937</v>
      </c>
      <c r="G41" s="7" t="s">
        <v>3095</v>
      </c>
      <c r="H41" s="58">
        <v>4139</v>
      </c>
      <c r="I41" s="102">
        <f>3194+1276+31</f>
        <v>4501</v>
      </c>
      <c r="J41" s="58">
        <f t="shared" si="0"/>
        <v>2682.596</v>
      </c>
    </row>
    <row r="42" spans="1:10" ht="30" x14ac:dyDescent="0.25">
      <c r="A42" s="7"/>
      <c r="B42" s="7" t="s">
        <v>2512</v>
      </c>
      <c r="C42" s="86" t="s">
        <v>2997</v>
      </c>
      <c r="D42" s="7" t="s">
        <v>3190</v>
      </c>
      <c r="E42" s="86" t="s">
        <v>3217</v>
      </c>
      <c r="F42" s="7" t="s">
        <v>2937</v>
      </c>
      <c r="G42" s="7" t="s">
        <v>3096</v>
      </c>
      <c r="H42" s="58">
        <v>2957</v>
      </c>
      <c r="I42" s="102">
        <f>3194+31</f>
        <v>3225</v>
      </c>
      <c r="J42" s="58">
        <f t="shared" si="0"/>
        <v>1922.1</v>
      </c>
    </row>
    <row r="43" spans="1:10" ht="30" x14ac:dyDescent="0.25">
      <c r="A43" s="7"/>
      <c r="B43" s="7" t="s">
        <v>2513</v>
      </c>
      <c r="C43" s="86" t="s">
        <v>2998</v>
      </c>
      <c r="D43" s="7" t="s">
        <v>3190</v>
      </c>
      <c r="E43" s="86" t="s">
        <v>3218</v>
      </c>
      <c r="F43" s="7" t="s">
        <v>2937</v>
      </c>
      <c r="G43" s="7" t="s">
        <v>3097</v>
      </c>
      <c r="H43" s="58">
        <v>3727</v>
      </c>
      <c r="I43" s="102">
        <f>2749+1276+31</f>
        <v>4056</v>
      </c>
      <c r="J43" s="58">
        <f t="shared" si="0"/>
        <v>2417.3759999999997</v>
      </c>
    </row>
    <row r="44" spans="1:10" ht="30" x14ac:dyDescent="0.25">
      <c r="A44" s="7"/>
      <c r="B44" s="7" t="s">
        <v>2514</v>
      </c>
      <c r="C44" s="86" t="s">
        <v>2999</v>
      </c>
      <c r="D44" s="7" t="s">
        <v>3190</v>
      </c>
      <c r="E44" s="86" t="s">
        <v>3219</v>
      </c>
      <c r="F44" s="7" t="s">
        <v>2937</v>
      </c>
      <c r="G44" s="7" t="s">
        <v>3098</v>
      </c>
      <c r="H44" s="58">
        <v>2545</v>
      </c>
      <c r="I44" s="102">
        <f>2749+31</f>
        <v>2780</v>
      </c>
      <c r="J44" s="58">
        <f t="shared" si="0"/>
        <v>1656.8799999999999</v>
      </c>
    </row>
    <row r="45" spans="1:10" ht="30" x14ac:dyDescent="0.25">
      <c r="A45" s="7"/>
      <c r="B45" s="7" t="s">
        <v>2515</v>
      </c>
      <c r="C45" s="86" t="s">
        <v>3000</v>
      </c>
      <c r="D45" s="7" t="s">
        <v>3190</v>
      </c>
      <c r="E45" s="86" t="s">
        <v>3220</v>
      </c>
      <c r="F45" s="7" t="s">
        <v>2937</v>
      </c>
      <c r="G45" s="7" t="s">
        <v>3099</v>
      </c>
      <c r="H45" s="58">
        <f>H46+1182</f>
        <v>4292</v>
      </c>
      <c r="I45" s="102">
        <f t="shared" ref="I45:I50" si="4">I39+557</f>
        <v>4664</v>
      </c>
      <c r="J45" s="58">
        <f t="shared" si="0"/>
        <v>2779.7439999999997</v>
      </c>
    </row>
    <row r="46" spans="1:10" ht="30" x14ac:dyDescent="0.25">
      <c r="A46" s="7"/>
      <c r="B46" s="7" t="s">
        <v>2516</v>
      </c>
      <c r="C46" s="86" t="s">
        <v>3001</v>
      </c>
      <c r="D46" s="7" t="s">
        <v>3190</v>
      </c>
      <c r="E46" s="86" t="s">
        <v>3221</v>
      </c>
      <c r="F46" s="7" t="s">
        <v>2937</v>
      </c>
      <c r="G46" s="7" t="s">
        <v>3100</v>
      </c>
      <c r="H46" s="58">
        <f>H40+517</f>
        <v>3110</v>
      </c>
      <c r="I46" s="102">
        <f t="shared" si="4"/>
        <v>3388</v>
      </c>
      <c r="J46" s="58">
        <f t="shared" si="0"/>
        <v>2019.2479999999998</v>
      </c>
    </row>
    <row r="47" spans="1:10" ht="30" x14ac:dyDescent="0.25">
      <c r="A47" s="7"/>
      <c r="B47" s="7" t="s">
        <v>2517</v>
      </c>
      <c r="C47" s="86" t="s">
        <v>3002</v>
      </c>
      <c r="D47" s="7" t="s">
        <v>3190</v>
      </c>
      <c r="E47" s="86" t="s">
        <v>3220</v>
      </c>
      <c r="F47" s="7" t="s">
        <v>2937</v>
      </c>
      <c r="G47" s="7" t="s">
        <v>3101</v>
      </c>
      <c r="H47" s="58">
        <f>H48+1182</f>
        <v>4656</v>
      </c>
      <c r="I47" s="102">
        <f t="shared" si="4"/>
        <v>5058</v>
      </c>
      <c r="J47" s="58">
        <f t="shared" si="0"/>
        <v>3014.5679999999998</v>
      </c>
    </row>
    <row r="48" spans="1:10" ht="30" x14ac:dyDescent="0.25">
      <c r="A48" s="7"/>
      <c r="B48" s="7" t="s">
        <v>2518</v>
      </c>
      <c r="C48" s="86" t="s">
        <v>3003</v>
      </c>
      <c r="D48" s="7" t="s">
        <v>3190</v>
      </c>
      <c r="E48" s="86" t="s">
        <v>3221</v>
      </c>
      <c r="F48" s="7" t="s">
        <v>2937</v>
      </c>
      <c r="G48" s="7" t="s">
        <v>3102</v>
      </c>
      <c r="H48" s="58">
        <f>H42+517</f>
        <v>3474</v>
      </c>
      <c r="I48" s="102">
        <f t="shared" si="4"/>
        <v>3782</v>
      </c>
      <c r="J48" s="58">
        <f t="shared" si="0"/>
        <v>2254.0720000000001</v>
      </c>
    </row>
    <row r="49" spans="1:10" ht="30" x14ac:dyDescent="0.25">
      <c r="A49" s="7"/>
      <c r="B49" s="7" t="s">
        <v>2519</v>
      </c>
      <c r="C49" s="86" t="s">
        <v>3004</v>
      </c>
      <c r="D49" s="7" t="s">
        <v>3190</v>
      </c>
      <c r="E49" s="86" t="s">
        <v>3222</v>
      </c>
      <c r="F49" s="7" t="s">
        <v>2937</v>
      </c>
      <c r="G49" s="7" t="s">
        <v>3103</v>
      </c>
      <c r="H49" s="58">
        <f>H50+1182</f>
        <v>4244</v>
      </c>
      <c r="I49" s="102">
        <f t="shared" si="4"/>
        <v>4613</v>
      </c>
      <c r="J49" s="58">
        <f t="shared" si="0"/>
        <v>2749.348</v>
      </c>
    </row>
    <row r="50" spans="1:10" ht="30" x14ac:dyDescent="0.25">
      <c r="A50" s="7"/>
      <c r="B50" s="7" t="s">
        <v>2520</v>
      </c>
      <c r="C50" s="86" t="s">
        <v>3005</v>
      </c>
      <c r="D50" s="7" t="s">
        <v>3190</v>
      </c>
      <c r="E50" s="86" t="s">
        <v>3223</v>
      </c>
      <c r="F50" s="7" t="s">
        <v>2937</v>
      </c>
      <c r="G50" s="7" t="s">
        <v>3104</v>
      </c>
      <c r="H50" s="58">
        <f>H44+517</f>
        <v>3062</v>
      </c>
      <c r="I50" s="102">
        <f t="shared" si="4"/>
        <v>3337</v>
      </c>
      <c r="J50" s="58">
        <f t="shared" si="0"/>
        <v>1988.8519999999999</v>
      </c>
    </row>
    <row r="51" spans="1:10" ht="30" x14ac:dyDescent="0.25">
      <c r="A51" s="7"/>
      <c r="B51" s="7" t="s">
        <v>2521</v>
      </c>
      <c r="C51" s="86" t="s">
        <v>3006</v>
      </c>
      <c r="D51" s="7" t="s">
        <v>3190</v>
      </c>
      <c r="E51" s="86" t="s">
        <v>3216</v>
      </c>
      <c r="F51" s="7" t="s">
        <v>2937</v>
      </c>
      <c r="G51" s="7" t="s">
        <v>3105</v>
      </c>
      <c r="H51" s="58">
        <v>4920</v>
      </c>
      <c r="I51" s="102">
        <f>4037+1276+31</f>
        <v>5344</v>
      </c>
      <c r="J51" s="58">
        <f t="shared" si="0"/>
        <v>3185.0239999999999</v>
      </c>
    </row>
    <row r="52" spans="1:10" ht="30" x14ac:dyDescent="0.25">
      <c r="A52" s="7"/>
      <c r="B52" s="7" t="s">
        <v>2522</v>
      </c>
      <c r="C52" s="86" t="s">
        <v>3007</v>
      </c>
      <c r="D52" s="7" t="s">
        <v>3190</v>
      </c>
      <c r="E52" s="86" t="s">
        <v>3217</v>
      </c>
      <c r="F52" s="7" t="s">
        <v>2937</v>
      </c>
      <c r="G52" s="7" t="s">
        <v>3106</v>
      </c>
      <c r="H52" s="58">
        <v>3738</v>
      </c>
      <c r="I52" s="102">
        <f>4037+31</f>
        <v>4068</v>
      </c>
      <c r="J52" s="58">
        <f t="shared" si="0"/>
        <v>2424.5279999999998</v>
      </c>
    </row>
    <row r="53" spans="1:10" ht="30" x14ac:dyDescent="0.25">
      <c r="A53" s="7"/>
      <c r="B53" s="7" t="s">
        <v>2523</v>
      </c>
      <c r="C53" s="86" t="s">
        <v>3008</v>
      </c>
      <c r="D53" s="7" t="s">
        <v>3190</v>
      </c>
      <c r="E53" s="86" t="s">
        <v>3216</v>
      </c>
      <c r="F53" s="7" t="s">
        <v>2937</v>
      </c>
      <c r="G53" s="7" t="s">
        <v>3107</v>
      </c>
      <c r="H53" s="58">
        <v>5116</v>
      </c>
      <c r="I53" s="102">
        <f>4249+1276+31</f>
        <v>5556</v>
      </c>
      <c r="J53" s="58">
        <f t="shared" si="0"/>
        <v>3311.3759999999997</v>
      </c>
    </row>
    <row r="54" spans="1:10" ht="30" x14ac:dyDescent="0.25">
      <c r="A54" s="7"/>
      <c r="B54" s="7" t="s">
        <v>2524</v>
      </c>
      <c r="C54" s="86" t="s">
        <v>3009</v>
      </c>
      <c r="D54" s="7" t="s">
        <v>3190</v>
      </c>
      <c r="E54" s="86" t="s">
        <v>3217</v>
      </c>
      <c r="F54" s="7" t="s">
        <v>2937</v>
      </c>
      <c r="G54" s="7" t="s">
        <v>3108</v>
      </c>
      <c r="H54" s="58">
        <v>3934</v>
      </c>
      <c r="I54" s="102">
        <f>4249+31</f>
        <v>4280</v>
      </c>
      <c r="J54" s="58">
        <f t="shared" si="0"/>
        <v>2550.88</v>
      </c>
    </row>
    <row r="55" spans="1:10" ht="30" x14ac:dyDescent="0.25">
      <c r="A55" s="7"/>
      <c r="B55" s="7" t="s">
        <v>2525</v>
      </c>
      <c r="C55" s="86" t="s">
        <v>3010</v>
      </c>
      <c r="D55" s="7" t="s">
        <v>3190</v>
      </c>
      <c r="E55" s="86" t="s">
        <v>3218</v>
      </c>
      <c r="F55" s="7" t="s">
        <v>2937</v>
      </c>
      <c r="G55" s="7" t="s">
        <v>3109</v>
      </c>
      <c r="H55" s="58">
        <v>4529</v>
      </c>
      <c r="I55" s="102">
        <f>3615+1276+31</f>
        <v>4922</v>
      </c>
      <c r="J55" s="58">
        <f t="shared" si="0"/>
        <v>2933.5119999999997</v>
      </c>
    </row>
    <row r="56" spans="1:10" ht="30" x14ac:dyDescent="0.25">
      <c r="A56" s="7"/>
      <c r="B56" s="7" t="s">
        <v>2526</v>
      </c>
      <c r="C56" s="86" t="s">
        <v>3011</v>
      </c>
      <c r="D56" s="7" t="s">
        <v>3190</v>
      </c>
      <c r="E56" s="86" t="s">
        <v>3219</v>
      </c>
      <c r="F56" s="7" t="s">
        <v>2937</v>
      </c>
      <c r="G56" s="7" t="s">
        <v>3110</v>
      </c>
      <c r="H56" s="58">
        <v>3347</v>
      </c>
      <c r="I56" s="102">
        <f>3615+31</f>
        <v>3646</v>
      </c>
      <c r="J56" s="58">
        <f t="shared" si="0"/>
        <v>2173.0160000000001</v>
      </c>
    </row>
    <row r="57" spans="1:10" ht="30" x14ac:dyDescent="0.25">
      <c r="A57" s="7"/>
      <c r="B57" s="7" t="s">
        <v>2527</v>
      </c>
      <c r="C57" s="86" t="s">
        <v>3012</v>
      </c>
      <c r="D57" s="7" t="s">
        <v>3190</v>
      </c>
      <c r="E57" s="86" t="s">
        <v>3220</v>
      </c>
      <c r="F57" s="7" t="s">
        <v>2937</v>
      </c>
      <c r="G57" s="7" t="s">
        <v>3111</v>
      </c>
      <c r="H57" s="58">
        <f>H58+1182</f>
        <v>5695</v>
      </c>
      <c r="I57" s="102">
        <f t="shared" ref="I57:I62" si="5">I51+836</f>
        <v>6180</v>
      </c>
      <c r="J57" s="58">
        <f t="shared" si="0"/>
        <v>3683.2799999999997</v>
      </c>
    </row>
    <row r="58" spans="1:10" ht="30" x14ac:dyDescent="0.25">
      <c r="A58" s="7"/>
      <c r="B58" s="7" t="s">
        <v>2528</v>
      </c>
      <c r="C58" s="86" t="s">
        <v>3013</v>
      </c>
      <c r="D58" s="7" t="s">
        <v>3190</v>
      </c>
      <c r="E58" s="86" t="s">
        <v>3221</v>
      </c>
      <c r="F58" s="7" t="s">
        <v>2937</v>
      </c>
      <c r="G58" s="7" t="s">
        <v>3112</v>
      </c>
      <c r="H58" s="58">
        <f>H52+775</f>
        <v>4513</v>
      </c>
      <c r="I58" s="102">
        <f t="shared" si="5"/>
        <v>4904</v>
      </c>
      <c r="J58" s="58">
        <f t="shared" si="0"/>
        <v>2922.7839999999997</v>
      </c>
    </row>
    <row r="59" spans="1:10" ht="30" x14ac:dyDescent="0.25">
      <c r="A59" s="7"/>
      <c r="B59" s="7" t="s">
        <v>2529</v>
      </c>
      <c r="C59" s="86" t="s">
        <v>3014</v>
      </c>
      <c r="D59" s="7" t="s">
        <v>3190</v>
      </c>
      <c r="E59" s="86" t="s">
        <v>3220</v>
      </c>
      <c r="F59" s="7" t="s">
        <v>2937</v>
      </c>
      <c r="G59" s="7" t="s">
        <v>3113</v>
      </c>
      <c r="H59" s="58">
        <f>H60+1182</f>
        <v>5891</v>
      </c>
      <c r="I59" s="102">
        <f t="shared" si="5"/>
        <v>6392</v>
      </c>
      <c r="J59" s="58">
        <f t="shared" si="0"/>
        <v>3809.6320000000001</v>
      </c>
    </row>
    <row r="60" spans="1:10" ht="30" x14ac:dyDescent="0.25">
      <c r="A60" s="7"/>
      <c r="B60" s="7" t="s">
        <v>2530</v>
      </c>
      <c r="C60" s="86" t="s">
        <v>3015</v>
      </c>
      <c r="D60" s="7" t="s">
        <v>3190</v>
      </c>
      <c r="E60" s="86" t="s">
        <v>3221</v>
      </c>
      <c r="F60" s="7" t="s">
        <v>2937</v>
      </c>
      <c r="G60" s="7" t="s">
        <v>3114</v>
      </c>
      <c r="H60" s="58">
        <f>H54+775</f>
        <v>4709</v>
      </c>
      <c r="I60" s="102">
        <f t="shared" si="5"/>
        <v>5116</v>
      </c>
      <c r="J60" s="58">
        <f t="shared" si="0"/>
        <v>3049.136</v>
      </c>
    </row>
    <row r="61" spans="1:10" ht="30" x14ac:dyDescent="0.25">
      <c r="A61" s="7"/>
      <c r="B61" s="7" t="s">
        <v>2531</v>
      </c>
      <c r="C61" s="86" t="s">
        <v>3016</v>
      </c>
      <c r="D61" s="7" t="s">
        <v>3190</v>
      </c>
      <c r="E61" s="86" t="s">
        <v>3222</v>
      </c>
      <c r="F61" s="7" t="s">
        <v>2937</v>
      </c>
      <c r="G61" s="7" t="s">
        <v>3115</v>
      </c>
      <c r="H61" s="58">
        <f>H62+1182</f>
        <v>5304</v>
      </c>
      <c r="I61" s="102">
        <f t="shared" si="5"/>
        <v>5758</v>
      </c>
      <c r="J61" s="58">
        <f t="shared" si="0"/>
        <v>3431.768</v>
      </c>
    </row>
    <row r="62" spans="1:10" ht="30" x14ac:dyDescent="0.25">
      <c r="A62" s="7"/>
      <c r="B62" s="7" t="s">
        <v>2532</v>
      </c>
      <c r="C62" s="86" t="s">
        <v>3017</v>
      </c>
      <c r="D62" s="7" t="s">
        <v>3190</v>
      </c>
      <c r="E62" s="86" t="s">
        <v>3223</v>
      </c>
      <c r="F62" s="7" t="s">
        <v>2937</v>
      </c>
      <c r="G62" s="7" t="s">
        <v>3116</v>
      </c>
      <c r="H62" s="58">
        <f>H56+775</f>
        <v>4122</v>
      </c>
      <c r="I62" s="102">
        <f t="shared" si="5"/>
        <v>4482</v>
      </c>
      <c r="J62" s="58">
        <f t="shared" si="0"/>
        <v>2671.2719999999999</v>
      </c>
    </row>
    <row r="63" spans="1:10" ht="30" x14ac:dyDescent="0.25">
      <c r="A63" s="7"/>
      <c r="B63" s="7" t="s">
        <v>2533</v>
      </c>
      <c r="C63" s="86" t="s">
        <v>3018</v>
      </c>
      <c r="D63" s="7" t="s">
        <v>3190</v>
      </c>
      <c r="E63" s="86" t="s">
        <v>3216</v>
      </c>
      <c r="F63" s="7" t="s">
        <v>2937</v>
      </c>
      <c r="G63" s="7" t="s">
        <v>3105</v>
      </c>
      <c r="H63" s="58">
        <v>4920</v>
      </c>
      <c r="I63" s="102">
        <f>4037+1276+31</f>
        <v>5344</v>
      </c>
      <c r="J63" s="58">
        <f t="shared" si="0"/>
        <v>3185.0239999999999</v>
      </c>
    </row>
    <row r="64" spans="1:10" ht="30" x14ac:dyDescent="0.25">
      <c r="A64" s="7"/>
      <c r="B64" s="7" t="s">
        <v>2534</v>
      </c>
      <c r="C64" s="86" t="s">
        <v>3019</v>
      </c>
      <c r="D64" s="7" t="s">
        <v>3190</v>
      </c>
      <c r="E64" s="86" t="s">
        <v>3217</v>
      </c>
      <c r="F64" s="7" t="s">
        <v>2937</v>
      </c>
      <c r="G64" s="7" t="s">
        <v>3106</v>
      </c>
      <c r="H64" s="58">
        <v>3738</v>
      </c>
      <c r="I64" s="102">
        <f>4037+31</f>
        <v>4068</v>
      </c>
      <c r="J64" s="58">
        <f t="shared" si="0"/>
        <v>2424.5279999999998</v>
      </c>
    </row>
    <row r="65" spans="1:10" ht="30" x14ac:dyDescent="0.25">
      <c r="A65" s="7"/>
      <c r="B65" s="7" t="s">
        <v>2535</v>
      </c>
      <c r="C65" s="86" t="s">
        <v>3020</v>
      </c>
      <c r="D65" s="7" t="s">
        <v>3190</v>
      </c>
      <c r="E65" s="86" t="s">
        <v>3216</v>
      </c>
      <c r="F65" s="7" t="s">
        <v>2937</v>
      </c>
      <c r="G65" s="7" t="s">
        <v>3107</v>
      </c>
      <c r="H65" s="58">
        <v>5116</v>
      </c>
      <c r="I65" s="102">
        <f>4249+1276+31</f>
        <v>5556</v>
      </c>
      <c r="J65" s="58">
        <f t="shared" si="0"/>
        <v>3311.3759999999997</v>
      </c>
    </row>
    <row r="66" spans="1:10" ht="30" x14ac:dyDescent="0.25">
      <c r="A66" s="7"/>
      <c r="B66" s="7" t="s">
        <v>2536</v>
      </c>
      <c r="C66" s="86" t="s">
        <v>3021</v>
      </c>
      <c r="D66" s="7" t="s">
        <v>3190</v>
      </c>
      <c r="E66" s="86" t="s">
        <v>3217</v>
      </c>
      <c r="F66" s="7" t="s">
        <v>2937</v>
      </c>
      <c r="G66" s="7" t="s">
        <v>3108</v>
      </c>
      <c r="H66" s="58">
        <v>3934</v>
      </c>
      <c r="I66" s="102">
        <f>4249+31</f>
        <v>4280</v>
      </c>
      <c r="J66" s="58">
        <f t="shared" si="0"/>
        <v>2550.88</v>
      </c>
    </row>
    <row r="67" spans="1:10" ht="30" x14ac:dyDescent="0.25">
      <c r="A67" s="7"/>
      <c r="B67" s="7" t="s">
        <v>2537</v>
      </c>
      <c r="C67" s="86" t="s">
        <v>3022</v>
      </c>
      <c r="D67" s="7" t="s">
        <v>3190</v>
      </c>
      <c r="E67" s="86" t="s">
        <v>3218</v>
      </c>
      <c r="F67" s="7" t="s">
        <v>2937</v>
      </c>
      <c r="G67" s="7" t="s">
        <v>3109</v>
      </c>
      <c r="H67" s="58">
        <v>4529</v>
      </c>
      <c r="I67" s="102">
        <f>3615+1276+31</f>
        <v>4922</v>
      </c>
      <c r="J67" s="58">
        <f t="shared" si="0"/>
        <v>2933.5119999999997</v>
      </c>
    </row>
    <row r="68" spans="1:10" ht="30" x14ac:dyDescent="0.25">
      <c r="A68" s="7"/>
      <c r="B68" s="7" t="s">
        <v>2538</v>
      </c>
      <c r="C68" s="86" t="s">
        <v>3023</v>
      </c>
      <c r="D68" s="7" t="s">
        <v>3190</v>
      </c>
      <c r="E68" s="86" t="s">
        <v>3219</v>
      </c>
      <c r="F68" s="7" t="s">
        <v>2937</v>
      </c>
      <c r="G68" s="7" t="s">
        <v>3110</v>
      </c>
      <c r="H68" s="58">
        <v>3347</v>
      </c>
      <c r="I68" s="102">
        <f>3615+31</f>
        <v>3646</v>
      </c>
      <c r="J68" s="58">
        <f t="shared" ref="J68:J74" si="6">I68*0.596</f>
        <v>2173.0160000000001</v>
      </c>
    </row>
    <row r="69" spans="1:10" ht="30" x14ac:dyDescent="0.25">
      <c r="A69" s="7"/>
      <c r="B69" s="7" t="s">
        <v>2539</v>
      </c>
      <c r="C69" s="86" t="s">
        <v>3024</v>
      </c>
      <c r="D69" s="7" t="s">
        <v>3190</v>
      </c>
      <c r="E69" s="86" t="s">
        <v>3220</v>
      </c>
      <c r="F69" s="7" t="s">
        <v>2937</v>
      </c>
      <c r="G69" s="7" t="s">
        <v>3111</v>
      </c>
      <c r="H69" s="58">
        <f>H70+1182</f>
        <v>5695</v>
      </c>
      <c r="I69" s="102">
        <f t="shared" ref="I69:I74" si="7">I63+836</f>
        <v>6180</v>
      </c>
      <c r="J69" s="58">
        <f t="shared" si="6"/>
        <v>3683.2799999999997</v>
      </c>
    </row>
    <row r="70" spans="1:10" ht="30" x14ac:dyDescent="0.25">
      <c r="A70" s="7"/>
      <c r="B70" s="7" t="s">
        <v>2540</v>
      </c>
      <c r="C70" s="86" t="s">
        <v>3025</v>
      </c>
      <c r="D70" s="7" t="s">
        <v>3190</v>
      </c>
      <c r="E70" s="86" t="s">
        <v>3221</v>
      </c>
      <c r="F70" s="7" t="s">
        <v>2937</v>
      </c>
      <c r="G70" s="7" t="s">
        <v>3112</v>
      </c>
      <c r="H70" s="58">
        <f>H64+775</f>
        <v>4513</v>
      </c>
      <c r="I70" s="102">
        <f t="shared" si="7"/>
        <v>4904</v>
      </c>
      <c r="J70" s="58">
        <f t="shared" si="6"/>
        <v>2922.7839999999997</v>
      </c>
    </row>
    <row r="71" spans="1:10" ht="30" x14ac:dyDescent="0.25">
      <c r="A71" s="7"/>
      <c r="B71" s="7" t="s">
        <v>2541</v>
      </c>
      <c r="C71" s="86" t="s">
        <v>3026</v>
      </c>
      <c r="D71" s="7" t="s">
        <v>3190</v>
      </c>
      <c r="E71" s="86" t="s">
        <v>3220</v>
      </c>
      <c r="F71" s="7" t="s">
        <v>2937</v>
      </c>
      <c r="G71" s="7" t="s">
        <v>3113</v>
      </c>
      <c r="H71" s="58">
        <f>H72+1182</f>
        <v>5891</v>
      </c>
      <c r="I71" s="102">
        <f t="shared" si="7"/>
        <v>6392</v>
      </c>
      <c r="J71" s="58">
        <f t="shared" si="6"/>
        <v>3809.6320000000001</v>
      </c>
    </row>
    <row r="72" spans="1:10" ht="30" x14ac:dyDescent="0.25">
      <c r="A72" s="7"/>
      <c r="B72" s="7" t="s">
        <v>2542</v>
      </c>
      <c r="C72" s="86" t="s">
        <v>3027</v>
      </c>
      <c r="D72" s="7" t="s">
        <v>3190</v>
      </c>
      <c r="E72" s="86" t="s">
        <v>3221</v>
      </c>
      <c r="F72" s="7" t="s">
        <v>2937</v>
      </c>
      <c r="G72" s="7" t="s">
        <v>3114</v>
      </c>
      <c r="H72" s="58">
        <f>H66+775</f>
        <v>4709</v>
      </c>
      <c r="I72" s="102">
        <f t="shared" si="7"/>
        <v>5116</v>
      </c>
      <c r="J72" s="58">
        <f t="shared" si="6"/>
        <v>3049.136</v>
      </c>
    </row>
    <row r="73" spans="1:10" ht="30" x14ac:dyDescent="0.25">
      <c r="A73" s="7"/>
      <c r="B73" s="7" t="s">
        <v>2543</v>
      </c>
      <c r="C73" s="86" t="s">
        <v>3028</v>
      </c>
      <c r="D73" s="7" t="s">
        <v>3190</v>
      </c>
      <c r="E73" s="86" t="s">
        <v>3222</v>
      </c>
      <c r="F73" s="7" t="s">
        <v>2937</v>
      </c>
      <c r="G73" s="7" t="s">
        <v>3115</v>
      </c>
      <c r="H73" s="58">
        <f>H74+1182</f>
        <v>5304</v>
      </c>
      <c r="I73" s="102">
        <f t="shared" si="7"/>
        <v>5758</v>
      </c>
      <c r="J73" s="58">
        <f t="shared" si="6"/>
        <v>3431.768</v>
      </c>
    </row>
    <row r="74" spans="1:10" ht="30" x14ac:dyDescent="0.25">
      <c r="A74" s="7"/>
      <c r="B74" s="7" t="s">
        <v>2544</v>
      </c>
      <c r="C74" s="86" t="s">
        <v>3029</v>
      </c>
      <c r="D74" s="7" t="s">
        <v>3190</v>
      </c>
      <c r="E74" s="86" t="s">
        <v>3223</v>
      </c>
      <c r="F74" s="7" t="s">
        <v>2937</v>
      </c>
      <c r="G74" s="7" t="s">
        <v>3116</v>
      </c>
      <c r="H74" s="58">
        <f>H68+775</f>
        <v>4122</v>
      </c>
      <c r="I74" s="102">
        <f t="shared" si="7"/>
        <v>4482</v>
      </c>
      <c r="J74" s="58">
        <f t="shared" si="6"/>
        <v>2671.2719999999999</v>
      </c>
    </row>
    <row r="75" spans="1:10" s="62" customFormat="1" x14ac:dyDescent="0.25">
      <c r="A75" s="63"/>
      <c r="B75" s="81" t="s">
        <v>3143</v>
      </c>
      <c r="C75" s="87"/>
      <c r="D75" s="63"/>
      <c r="E75" s="87"/>
      <c r="F75" s="63"/>
      <c r="G75" s="63"/>
      <c r="H75" s="88"/>
      <c r="I75" s="103"/>
      <c r="J75" s="88"/>
    </row>
    <row r="76" spans="1:10" ht="64.5" customHeight="1" x14ac:dyDescent="0.25">
      <c r="A76" s="7"/>
      <c r="B76" s="7" t="s">
        <v>2545</v>
      </c>
      <c r="C76" s="86" t="s">
        <v>3033</v>
      </c>
      <c r="D76" s="7" t="s">
        <v>3030</v>
      </c>
      <c r="E76" s="86" t="s">
        <v>3224</v>
      </c>
      <c r="F76" s="86" t="s">
        <v>2860</v>
      </c>
      <c r="G76" s="86" t="s">
        <v>3165</v>
      </c>
      <c r="H76" s="58">
        <v>1953</v>
      </c>
      <c r="I76" s="102">
        <f>2109+31</f>
        <v>2140</v>
      </c>
      <c r="J76" s="58">
        <f>I76*0.596</f>
        <v>1275.44</v>
      </c>
    </row>
    <row r="77" spans="1:10" ht="66" customHeight="1" x14ac:dyDescent="0.25">
      <c r="A77" s="7"/>
      <c r="B77" s="7" t="s">
        <v>2545</v>
      </c>
      <c r="C77" s="86" t="s">
        <v>3033</v>
      </c>
      <c r="D77" s="7" t="s">
        <v>3030</v>
      </c>
      <c r="E77" s="86" t="s">
        <v>3225</v>
      </c>
      <c r="F77" s="86" t="s">
        <v>2859</v>
      </c>
      <c r="G77" s="86" t="s">
        <v>3166</v>
      </c>
      <c r="H77" s="58">
        <v>1836</v>
      </c>
      <c r="I77" s="102">
        <f>1983+31</f>
        <v>2014</v>
      </c>
      <c r="J77" s="58">
        <f t="shared" ref="J77:J117" si="8">I77*0.596</f>
        <v>1200.3440000000001</v>
      </c>
    </row>
    <row r="78" spans="1:10" ht="59.25" customHeight="1" x14ac:dyDescent="0.25">
      <c r="A78" s="7"/>
      <c r="B78" s="7" t="s">
        <v>2545</v>
      </c>
      <c r="C78" s="86" t="s">
        <v>3033</v>
      </c>
      <c r="D78" s="7" t="s">
        <v>3030</v>
      </c>
      <c r="E78" s="86" t="s">
        <v>3226</v>
      </c>
      <c r="F78" s="86" t="s">
        <v>3159</v>
      </c>
      <c r="G78" s="86" t="s">
        <v>3167</v>
      </c>
      <c r="H78" s="58">
        <v>1994</v>
      </c>
      <c r="I78" s="102">
        <f>2154+31</f>
        <v>2185</v>
      </c>
      <c r="J78" s="58">
        <f t="shared" si="8"/>
        <v>1302.26</v>
      </c>
    </row>
    <row r="79" spans="1:10" ht="60.75" customHeight="1" x14ac:dyDescent="0.25">
      <c r="A79" s="7"/>
      <c r="B79" s="7" t="s">
        <v>2545</v>
      </c>
      <c r="C79" s="86" t="s">
        <v>3033</v>
      </c>
      <c r="D79" s="7" t="s">
        <v>3030</v>
      </c>
      <c r="E79" s="86" t="s">
        <v>3227</v>
      </c>
      <c r="F79" s="86" t="s">
        <v>3160</v>
      </c>
      <c r="G79" s="86" t="s">
        <v>3168</v>
      </c>
      <c r="H79" s="58">
        <v>2373</v>
      </c>
      <c r="I79" s="102">
        <f>2563+31</f>
        <v>2594</v>
      </c>
      <c r="J79" s="58">
        <f t="shared" si="8"/>
        <v>1546.0239999999999</v>
      </c>
    </row>
    <row r="80" spans="1:10" ht="66.75" customHeight="1" x14ac:dyDescent="0.25">
      <c r="A80" s="7"/>
      <c r="B80" s="7" t="s">
        <v>2545</v>
      </c>
      <c r="C80" s="86" t="s">
        <v>3033</v>
      </c>
      <c r="D80" s="7" t="s">
        <v>3030</v>
      </c>
      <c r="E80" s="86" t="s">
        <v>3228</v>
      </c>
      <c r="F80" s="86" t="s">
        <v>3161</v>
      </c>
      <c r="G80" s="86" t="s">
        <v>3117</v>
      </c>
      <c r="H80" s="58">
        <v>2957</v>
      </c>
      <c r="I80" s="102">
        <f>3194+31</f>
        <v>3225</v>
      </c>
      <c r="J80" s="58">
        <f t="shared" si="8"/>
        <v>1922.1</v>
      </c>
    </row>
    <row r="81" spans="1:10" ht="66" customHeight="1" x14ac:dyDescent="0.25">
      <c r="A81" s="7"/>
      <c r="B81" s="7" t="s">
        <v>2545</v>
      </c>
      <c r="C81" s="86" t="s">
        <v>3033</v>
      </c>
      <c r="D81" s="7" t="s">
        <v>3030</v>
      </c>
      <c r="E81" s="86" t="s">
        <v>3229</v>
      </c>
      <c r="F81" s="86" t="s">
        <v>3162</v>
      </c>
      <c r="G81" s="86" t="s">
        <v>3169</v>
      </c>
      <c r="H81" s="58">
        <v>1874</v>
      </c>
      <c r="I81" s="102">
        <f>2024+31</f>
        <v>2055</v>
      </c>
      <c r="J81" s="58">
        <f t="shared" si="8"/>
        <v>1224.78</v>
      </c>
    </row>
    <row r="82" spans="1:10" ht="67.5" customHeight="1" x14ac:dyDescent="0.25">
      <c r="A82" s="7"/>
      <c r="B82" s="7" t="s">
        <v>2545</v>
      </c>
      <c r="C82" s="86" t="s">
        <v>3033</v>
      </c>
      <c r="D82" s="7" t="s">
        <v>3030</v>
      </c>
      <c r="E82" s="86" t="s">
        <v>3230</v>
      </c>
      <c r="F82" s="86" t="s">
        <v>3163</v>
      </c>
      <c r="G82" s="86" t="s">
        <v>3170</v>
      </c>
      <c r="H82" s="58">
        <v>1764</v>
      </c>
      <c r="I82" s="102">
        <f>1905+31</f>
        <v>1936</v>
      </c>
      <c r="J82" s="58">
        <f t="shared" si="8"/>
        <v>1153.856</v>
      </c>
    </row>
    <row r="83" spans="1:10" ht="63" customHeight="1" x14ac:dyDescent="0.25">
      <c r="A83" s="7"/>
      <c r="B83" s="7" t="s">
        <v>2545</v>
      </c>
      <c r="C83" s="86" t="s">
        <v>3033</v>
      </c>
      <c r="D83" s="7" t="s">
        <v>3030</v>
      </c>
      <c r="E83" s="86" t="s">
        <v>3231</v>
      </c>
      <c r="F83" s="86" t="s">
        <v>3164</v>
      </c>
      <c r="G83" s="86" t="s">
        <v>3171</v>
      </c>
      <c r="H83" s="58">
        <v>2436</v>
      </c>
      <c r="I83" s="102">
        <f>2631+31</f>
        <v>2662</v>
      </c>
      <c r="J83" s="58">
        <f t="shared" si="8"/>
        <v>1586.5519999999999</v>
      </c>
    </row>
    <row r="84" spans="1:10" ht="66" customHeight="1" x14ac:dyDescent="0.25">
      <c r="A84" s="7"/>
      <c r="B84" s="7" t="s">
        <v>2545</v>
      </c>
      <c r="C84" s="86" t="s">
        <v>3033</v>
      </c>
      <c r="D84" s="7" t="s">
        <v>3030</v>
      </c>
      <c r="E84" s="86" t="s">
        <v>3232</v>
      </c>
      <c r="F84" s="86" t="s">
        <v>2862</v>
      </c>
      <c r="G84" s="86" t="s">
        <v>3172</v>
      </c>
      <c r="H84" s="58">
        <v>1946</v>
      </c>
      <c r="I84" s="102">
        <f>2102+31</f>
        <v>2133</v>
      </c>
      <c r="J84" s="58">
        <f t="shared" si="8"/>
        <v>1271.268</v>
      </c>
    </row>
    <row r="85" spans="1:10" ht="72" customHeight="1" x14ac:dyDescent="0.25">
      <c r="A85" s="7"/>
      <c r="B85" s="7" t="s">
        <v>2546</v>
      </c>
      <c r="C85" s="86" t="s">
        <v>3034</v>
      </c>
      <c r="D85" s="7" t="s">
        <v>3030</v>
      </c>
      <c r="E85" s="86" t="s">
        <v>3224</v>
      </c>
      <c r="F85" s="86" t="s">
        <v>2860</v>
      </c>
      <c r="G85" s="7" t="s">
        <v>3206</v>
      </c>
      <c r="H85" s="58">
        <v>1276</v>
      </c>
      <c r="I85" s="102">
        <f>1378+31</f>
        <v>1409</v>
      </c>
      <c r="J85" s="58">
        <f t="shared" si="8"/>
        <v>839.76400000000001</v>
      </c>
    </row>
    <row r="86" spans="1:10" ht="72" customHeight="1" x14ac:dyDescent="0.25">
      <c r="A86" s="7"/>
      <c r="B86" s="7" t="s">
        <v>2546</v>
      </c>
      <c r="C86" s="86" t="s">
        <v>3034</v>
      </c>
      <c r="D86" s="7" t="s">
        <v>3030</v>
      </c>
      <c r="E86" s="86" t="s">
        <v>3225</v>
      </c>
      <c r="F86" s="86" t="s">
        <v>2859</v>
      </c>
      <c r="G86" s="7" t="s">
        <v>3118</v>
      </c>
      <c r="H86" s="58">
        <v>1728</v>
      </c>
      <c r="I86" s="102">
        <f>1866+31</f>
        <v>1897</v>
      </c>
      <c r="J86" s="58">
        <f t="shared" si="8"/>
        <v>1130.6119999999999</v>
      </c>
    </row>
    <row r="87" spans="1:10" ht="72" customHeight="1" x14ac:dyDescent="0.25">
      <c r="A87" s="7"/>
      <c r="B87" s="7" t="s">
        <v>2546</v>
      </c>
      <c r="C87" s="86" t="s">
        <v>3034</v>
      </c>
      <c r="D87" s="7" t="s">
        <v>3030</v>
      </c>
      <c r="E87" s="86" t="s">
        <v>3233</v>
      </c>
      <c r="F87" s="86" t="s">
        <v>3164</v>
      </c>
      <c r="G87" s="7" t="s">
        <v>3174</v>
      </c>
      <c r="H87" s="58">
        <v>1837</v>
      </c>
      <c r="I87" s="102">
        <f>1984+31</f>
        <v>2015</v>
      </c>
      <c r="J87" s="58">
        <f t="shared" si="8"/>
        <v>1200.94</v>
      </c>
    </row>
    <row r="88" spans="1:10" ht="72" customHeight="1" x14ac:dyDescent="0.25">
      <c r="A88" s="7"/>
      <c r="B88" s="7" t="s">
        <v>2546</v>
      </c>
      <c r="C88" s="86" t="s">
        <v>3034</v>
      </c>
      <c r="D88" s="7" t="s">
        <v>3030</v>
      </c>
      <c r="E88" s="86" t="s">
        <v>3230</v>
      </c>
      <c r="F88" s="86" t="s">
        <v>3163</v>
      </c>
      <c r="G88" s="7" t="s">
        <v>3173</v>
      </c>
      <c r="H88" s="58">
        <v>1583</v>
      </c>
      <c r="I88" s="102">
        <f>1710+31</f>
        <v>1741</v>
      </c>
      <c r="J88" s="58">
        <f t="shared" si="8"/>
        <v>1037.636</v>
      </c>
    </row>
    <row r="89" spans="1:10" ht="72.75" customHeight="1" x14ac:dyDescent="0.25">
      <c r="A89" s="7"/>
      <c r="B89" s="7" t="s">
        <v>2547</v>
      </c>
      <c r="C89" s="86" t="s">
        <v>3031</v>
      </c>
      <c r="D89" s="7" t="s">
        <v>3035</v>
      </c>
      <c r="E89" s="86" t="s">
        <v>3224</v>
      </c>
      <c r="F89" s="86" t="s">
        <v>2860</v>
      </c>
      <c r="G89" s="86" t="s">
        <v>3207</v>
      </c>
      <c r="H89" s="58">
        <v>2909</v>
      </c>
      <c r="I89" s="102">
        <f>3142+31</f>
        <v>3173</v>
      </c>
      <c r="J89" s="58">
        <f t="shared" si="8"/>
        <v>1891.1079999999999</v>
      </c>
    </row>
    <row r="90" spans="1:10" ht="71.25" customHeight="1" x14ac:dyDescent="0.25">
      <c r="A90" s="7"/>
      <c r="B90" s="7" t="s">
        <v>2547</v>
      </c>
      <c r="C90" s="86" t="s">
        <v>3031</v>
      </c>
      <c r="D90" s="7" t="s">
        <v>3035</v>
      </c>
      <c r="E90" s="86" t="s">
        <v>3225</v>
      </c>
      <c r="F90" s="86" t="s">
        <v>2859</v>
      </c>
      <c r="G90" s="86" t="s">
        <v>3189</v>
      </c>
      <c r="H90" s="58">
        <v>2884</v>
      </c>
      <c r="I90" s="102">
        <f>3115+31</f>
        <v>3146</v>
      </c>
      <c r="J90" s="58">
        <f t="shared" si="8"/>
        <v>1875.0159999999998</v>
      </c>
    </row>
    <row r="91" spans="1:10" ht="54" customHeight="1" x14ac:dyDescent="0.25">
      <c r="A91" s="7"/>
      <c r="B91" s="7" t="s">
        <v>2547</v>
      </c>
      <c r="C91" s="86" t="s">
        <v>3031</v>
      </c>
      <c r="D91" s="7" t="s">
        <v>3035</v>
      </c>
      <c r="E91" s="86" t="s">
        <v>3226</v>
      </c>
      <c r="F91" s="86" t="s">
        <v>3159</v>
      </c>
      <c r="G91" s="86" t="s">
        <v>3178</v>
      </c>
      <c r="H91" s="58">
        <v>2706</v>
      </c>
      <c r="I91" s="102">
        <f>2922+31</f>
        <v>2953</v>
      </c>
      <c r="J91" s="58">
        <f t="shared" si="8"/>
        <v>1759.9879999999998</v>
      </c>
    </row>
    <row r="92" spans="1:10" ht="57.75" customHeight="1" x14ac:dyDescent="0.25">
      <c r="A92" s="3"/>
      <c r="B92" s="7" t="s">
        <v>2547</v>
      </c>
      <c r="C92" s="86" t="s">
        <v>3031</v>
      </c>
      <c r="D92" s="7" t="s">
        <v>3035</v>
      </c>
      <c r="E92" s="86" t="s">
        <v>3227</v>
      </c>
      <c r="F92" s="86" t="s">
        <v>3160</v>
      </c>
      <c r="G92" s="86" t="s">
        <v>3176</v>
      </c>
      <c r="H92" s="58">
        <v>3082</v>
      </c>
      <c r="I92" s="102">
        <f>3329+31</f>
        <v>3360</v>
      </c>
      <c r="J92" s="58">
        <f t="shared" si="8"/>
        <v>2002.56</v>
      </c>
    </row>
    <row r="93" spans="1:10" ht="57" customHeight="1" x14ac:dyDescent="0.25">
      <c r="A93" s="7"/>
      <c r="B93" s="7" t="s">
        <v>2547</v>
      </c>
      <c r="C93" s="86" t="s">
        <v>3031</v>
      </c>
      <c r="D93" s="7" t="s">
        <v>3035</v>
      </c>
      <c r="E93" s="86" t="s">
        <v>3228</v>
      </c>
      <c r="F93" s="86" t="s">
        <v>3161</v>
      </c>
      <c r="G93" s="86" t="s">
        <v>3119</v>
      </c>
      <c r="H93" s="58">
        <v>3992</v>
      </c>
      <c r="I93" s="102">
        <f>4311+31</f>
        <v>4342</v>
      </c>
      <c r="J93" s="58">
        <f t="shared" si="8"/>
        <v>2587.8319999999999</v>
      </c>
    </row>
    <row r="94" spans="1:10" ht="66" customHeight="1" x14ac:dyDescent="0.25">
      <c r="A94" s="7"/>
      <c r="B94" s="7" t="s">
        <v>2547</v>
      </c>
      <c r="C94" s="86" t="s">
        <v>3031</v>
      </c>
      <c r="D94" s="7" t="s">
        <v>3035</v>
      </c>
      <c r="E94" s="86" t="s">
        <v>3229</v>
      </c>
      <c r="F94" s="86" t="s">
        <v>3162</v>
      </c>
      <c r="G94" s="86" t="s">
        <v>3180</v>
      </c>
      <c r="H94" s="58">
        <v>2507</v>
      </c>
      <c r="I94" s="102">
        <f>2708+31</f>
        <v>2739</v>
      </c>
      <c r="J94" s="58">
        <f t="shared" si="8"/>
        <v>1632.444</v>
      </c>
    </row>
    <row r="95" spans="1:10" ht="78.75" customHeight="1" x14ac:dyDescent="0.25">
      <c r="A95" s="7"/>
      <c r="B95" s="7" t="s">
        <v>2547</v>
      </c>
      <c r="C95" s="86" t="s">
        <v>3031</v>
      </c>
      <c r="D95" s="7" t="s">
        <v>3035</v>
      </c>
      <c r="E95" s="86" t="s">
        <v>3231</v>
      </c>
      <c r="F95" s="86" t="s">
        <v>3175</v>
      </c>
      <c r="G95" s="86" t="s">
        <v>3182</v>
      </c>
      <c r="H95" s="58">
        <v>3124</v>
      </c>
      <c r="I95" s="102">
        <f>3374+31</f>
        <v>3405</v>
      </c>
      <c r="J95" s="58">
        <f t="shared" si="8"/>
        <v>2029.3799999999999</v>
      </c>
    </row>
    <row r="96" spans="1:10" ht="81.75" customHeight="1" x14ac:dyDescent="0.25">
      <c r="A96" s="7"/>
      <c r="B96" s="7" t="s">
        <v>2547</v>
      </c>
      <c r="C96" s="86" t="s">
        <v>3031</v>
      </c>
      <c r="D96" s="7" t="s">
        <v>3035</v>
      </c>
      <c r="E96" s="86" t="s">
        <v>3232</v>
      </c>
      <c r="F96" s="86" t="s">
        <v>2862</v>
      </c>
      <c r="G96" s="86" t="s">
        <v>3188</v>
      </c>
      <c r="H96" s="58">
        <v>2590</v>
      </c>
      <c r="I96" s="102">
        <f>2797+31</f>
        <v>2828</v>
      </c>
      <c r="J96" s="58">
        <f t="shared" si="8"/>
        <v>1685.4879999999998</v>
      </c>
    </row>
    <row r="97" spans="1:10" ht="71.25" customHeight="1" x14ac:dyDescent="0.25">
      <c r="A97" s="7"/>
      <c r="B97" s="7" t="s">
        <v>2548</v>
      </c>
      <c r="C97" s="86" t="s">
        <v>3032</v>
      </c>
      <c r="D97" s="7" t="s">
        <v>3035</v>
      </c>
      <c r="E97" s="86" t="s">
        <v>3224</v>
      </c>
      <c r="F97" s="7" t="s">
        <v>2860</v>
      </c>
      <c r="G97" s="7" t="s">
        <v>3210</v>
      </c>
      <c r="H97" s="58">
        <v>2233</v>
      </c>
      <c r="I97" s="102">
        <f>2412+31</f>
        <v>2443</v>
      </c>
      <c r="J97" s="58">
        <f t="shared" si="8"/>
        <v>1456.028</v>
      </c>
    </row>
    <row r="98" spans="1:10" ht="75" customHeight="1" x14ac:dyDescent="0.25">
      <c r="A98" s="7"/>
      <c r="B98" s="7" t="s">
        <v>2548</v>
      </c>
      <c r="C98" s="86" t="s">
        <v>3032</v>
      </c>
      <c r="D98" s="7" t="s">
        <v>3035</v>
      </c>
      <c r="E98" s="86" t="s">
        <v>3225</v>
      </c>
      <c r="F98" s="7" t="s">
        <v>2859</v>
      </c>
      <c r="G98" s="7" t="s">
        <v>3120</v>
      </c>
      <c r="H98" s="58">
        <v>2770</v>
      </c>
      <c r="I98" s="102">
        <f>2992+31</f>
        <v>3023</v>
      </c>
      <c r="J98" s="58">
        <f t="shared" si="8"/>
        <v>1801.7079999999999</v>
      </c>
    </row>
    <row r="99" spans="1:10" ht="75" customHeight="1" x14ac:dyDescent="0.25">
      <c r="A99" s="98"/>
      <c r="B99" s="7" t="s">
        <v>2548</v>
      </c>
      <c r="C99" s="86" t="s">
        <v>3032</v>
      </c>
      <c r="D99" s="7" t="s">
        <v>3035</v>
      </c>
      <c r="E99" s="86" t="s">
        <v>3234</v>
      </c>
      <c r="F99" s="7" t="s">
        <v>3164</v>
      </c>
      <c r="G99" s="7" t="s">
        <v>3184</v>
      </c>
      <c r="H99" s="58">
        <v>2654</v>
      </c>
      <c r="I99" s="102">
        <f>2866+31</f>
        <v>2897</v>
      </c>
      <c r="J99" s="58">
        <f t="shared" si="8"/>
        <v>1726.6119999999999</v>
      </c>
    </row>
    <row r="100" spans="1:10" ht="85.5" customHeight="1" x14ac:dyDescent="0.25">
      <c r="A100" s="7"/>
      <c r="B100" s="7" t="s">
        <v>2549</v>
      </c>
      <c r="C100" s="86" t="s">
        <v>3036</v>
      </c>
      <c r="D100" s="7" t="s">
        <v>3035</v>
      </c>
      <c r="E100" s="86" t="s">
        <v>3223</v>
      </c>
      <c r="F100" s="86" t="s">
        <v>3076</v>
      </c>
      <c r="G100" s="86" t="s">
        <v>3123</v>
      </c>
      <c r="H100" s="58">
        <f>2909+517</f>
        <v>3426</v>
      </c>
      <c r="I100" s="102">
        <f>3142+557+31</f>
        <v>3730</v>
      </c>
      <c r="J100" s="58">
        <f t="shared" si="8"/>
        <v>2223.08</v>
      </c>
    </row>
    <row r="101" spans="1:10" ht="81" customHeight="1" x14ac:dyDescent="0.25">
      <c r="A101" s="7"/>
      <c r="B101" s="7" t="s">
        <v>2550</v>
      </c>
      <c r="C101" s="86" t="s">
        <v>3037</v>
      </c>
      <c r="D101" s="7" t="s">
        <v>3035</v>
      </c>
      <c r="E101" s="86" t="s">
        <v>3223</v>
      </c>
      <c r="F101" s="7" t="s">
        <v>3076</v>
      </c>
      <c r="G101" s="7" t="s">
        <v>3124</v>
      </c>
      <c r="H101" s="58">
        <f>2233+517</f>
        <v>2750</v>
      </c>
      <c r="I101" s="102">
        <f>2412+557+31</f>
        <v>3000</v>
      </c>
      <c r="J101" s="58">
        <f t="shared" si="8"/>
        <v>1788</v>
      </c>
    </row>
    <row r="102" spans="1:10" ht="76.5" customHeight="1" x14ac:dyDescent="0.25">
      <c r="A102" s="7"/>
      <c r="B102" s="7" t="s">
        <v>2551</v>
      </c>
      <c r="C102" s="86" t="s">
        <v>3038</v>
      </c>
      <c r="D102" s="7" t="s">
        <v>3035</v>
      </c>
      <c r="E102" s="86" t="s">
        <v>3235</v>
      </c>
      <c r="F102" s="86" t="s">
        <v>2860</v>
      </c>
      <c r="G102" s="86" t="s">
        <v>3208</v>
      </c>
      <c r="H102" s="58">
        <v>3877</v>
      </c>
      <c r="I102" s="102">
        <f>4187+31</f>
        <v>4218</v>
      </c>
      <c r="J102" s="58">
        <f t="shared" si="8"/>
        <v>2513.9279999999999</v>
      </c>
    </row>
    <row r="103" spans="1:10" ht="81" customHeight="1" x14ac:dyDescent="0.25">
      <c r="A103" s="7"/>
      <c r="B103" s="7" t="s">
        <v>2551</v>
      </c>
      <c r="C103" s="86" t="s">
        <v>3038</v>
      </c>
      <c r="D103" s="7" t="s">
        <v>3035</v>
      </c>
      <c r="E103" s="86" t="s">
        <v>3225</v>
      </c>
      <c r="F103" s="86" t="s">
        <v>2859</v>
      </c>
      <c r="G103" s="86" t="s">
        <v>3186</v>
      </c>
      <c r="H103" s="58">
        <v>3769</v>
      </c>
      <c r="I103" s="102">
        <f>4071+31</f>
        <v>4102</v>
      </c>
      <c r="J103" s="58">
        <f t="shared" si="8"/>
        <v>2444.7919999999999</v>
      </c>
    </row>
    <row r="104" spans="1:10" ht="69" customHeight="1" x14ac:dyDescent="0.25">
      <c r="A104" s="7"/>
      <c r="B104" s="7" t="s">
        <v>2551</v>
      </c>
      <c r="C104" s="86" t="s">
        <v>3038</v>
      </c>
      <c r="D104" s="7" t="s">
        <v>3035</v>
      </c>
      <c r="E104" s="86" t="s">
        <v>3226</v>
      </c>
      <c r="F104" s="86" t="s">
        <v>3159</v>
      </c>
      <c r="G104" s="86" t="s">
        <v>3179</v>
      </c>
      <c r="H104" s="58">
        <v>3673</v>
      </c>
      <c r="I104" s="102">
        <f>3967+31</f>
        <v>3998</v>
      </c>
      <c r="J104" s="58">
        <f t="shared" si="8"/>
        <v>2382.808</v>
      </c>
    </row>
    <row r="105" spans="1:10" ht="66" customHeight="1" x14ac:dyDescent="0.25">
      <c r="A105" s="7"/>
      <c r="B105" s="7" t="s">
        <v>2551</v>
      </c>
      <c r="C105" s="86" t="s">
        <v>3038</v>
      </c>
      <c r="D105" s="7" t="s">
        <v>3035</v>
      </c>
      <c r="E105" s="86" t="s">
        <v>3227</v>
      </c>
      <c r="F105" s="86" t="s">
        <v>3160</v>
      </c>
      <c r="G105" s="86" t="s">
        <v>3177</v>
      </c>
      <c r="H105" s="58">
        <v>4028</v>
      </c>
      <c r="I105" s="102">
        <f>4350+31</f>
        <v>4381</v>
      </c>
      <c r="J105" s="58">
        <f t="shared" si="8"/>
        <v>2611.076</v>
      </c>
    </row>
    <row r="106" spans="1:10" ht="72.75" customHeight="1" x14ac:dyDescent="0.25">
      <c r="A106" s="7"/>
      <c r="B106" s="7" t="s">
        <v>2551</v>
      </c>
      <c r="C106" s="86" t="s">
        <v>3038</v>
      </c>
      <c r="D106" s="7" t="s">
        <v>3035</v>
      </c>
      <c r="E106" s="86" t="s">
        <v>3228</v>
      </c>
      <c r="F106" s="86" t="s">
        <v>3161</v>
      </c>
      <c r="G106" s="86" t="s">
        <v>3121</v>
      </c>
      <c r="H106" s="58">
        <v>5381</v>
      </c>
      <c r="I106" s="102">
        <f>5811+31</f>
        <v>5842</v>
      </c>
      <c r="J106" s="58">
        <f t="shared" si="8"/>
        <v>3481.8319999999999</v>
      </c>
    </row>
    <row r="107" spans="1:10" ht="72.75" customHeight="1" x14ac:dyDescent="0.25">
      <c r="A107" s="7"/>
      <c r="B107" s="7" t="s">
        <v>2551</v>
      </c>
      <c r="C107" s="86" t="s">
        <v>3038</v>
      </c>
      <c r="D107" s="7" t="s">
        <v>3035</v>
      </c>
      <c r="E107" s="86" t="s">
        <v>3229</v>
      </c>
      <c r="F107" s="86" t="s">
        <v>3162</v>
      </c>
      <c r="G107" s="86" t="s">
        <v>3181</v>
      </c>
      <c r="H107" s="58">
        <v>3399</v>
      </c>
      <c r="I107" s="102">
        <f>3671+31</f>
        <v>3702</v>
      </c>
      <c r="J107" s="58">
        <f t="shared" si="8"/>
        <v>2206.3919999999998</v>
      </c>
    </row>
    <row r="108" spans="1:10" ht="72.75" customHeight="1" x14ac:dyDescent="0.25">
      <c r="A108" s="7"/>
      <c r="B108" s="7" t="s">
        <v>2551</v>
      </c>
      <c r="C108" s="86" t="s">
        <v>3038</v>
      </c>
      <c r="D108" s="7" t="s">
        <v>3035</v>
      </c>
      <c r="E108" s="86" t="s">
        <v>3231</v>
      </c>
      <c r="F108" s="86" t="s">
        <v>3164</v>
      </c>
      <c r="G108" s="86" t="s">
        <v>3183</v>
      </c>
      <c r="H108" s="58">
        <v>3832</v>
      </c>
      <c r="I108" s="102">
        <f>4139+31</f>
        <v>4170</v>
      </c>
      <c r="J108" s="58">
        <f t="shared" si="8"/>
        <v>2485.3199999999997</v>
      </c>
    </row>
    <row r="109" spans="1:10" ht="72.75" customHeight="1" x14ac:dyDescent="0.25">
      <c r="A109" s="7"/>
      <c r="B109" s="7" t="s">
        <v>2551</v>
      </c>
      <c r="C109" s="86" t="s">
        <v>3038</v>
      </c>
      <c r="D109" s="7" t="s">
        <v>3035</v>
      </c>
      <c r="E109" s="86" t="s">
        <v>3232</v>
      </c>
      <c r="F109" s="86" t="s">
        <v>2862</v>
      </c>
      <c r="G109" s="86" t="s">
        <v>3187</v>
      </c>
      <c r="H109" s="58">
        <v>3652</v>
      </c>
      <c r="I109" s="102">
        <f>3944+31</f>
        <v>3975</v>
      </c>
      <c r="J109" s="58">
        <f t="shared" si="8"/>
        <v>2369.1</v>
      </c>
    </row>
    <row r="110" spans="1:10" ht="72" customHeight="1" x14ac:dyDescent="0.25">
      <c r="A110" s="7"/>
      <c r="B110" s="7" t="s">
        <v>2552</v>
      </c>
      <c r="C110" s="86" t="s">
        <v>3039</v>
      </c>
      <c r="D110" s="7" t="s">
        <v>3035</v>
      </c>
      <c r="E110" s="86" t="s">
        <v>3235</v>
      </c>
      <c r="F110" s="7" t="s">
        <v>2860</v>
      </c>
      <c r="G110" s="7" t="s">
        <v>3209</v>
      </c>
      <c r="H110" s="58">
        <v>3203</v>
      </c>
      <c r="I110" s="102">
        <f>3459+31</f>
        <v>3490</v>
      </c>
      <c r="J110" s="58">
        <f t="shared" si="8"/>
        <v>2080.04</v>
      </c>
    </row>
    <row r="111" spans="1:10" ht="81.75" customHeight="1" x14ac:dyDescent="0.25">
      <c r="A111" s="7"/>
      <c r="B111" s="7" t="s">
        <v>2552</v>
      </c>
      <c r="C111" s="86" t="s">
        <v>3039</v>
      </c>
      <c r="D111" s="7" t="s">
        <v>3035</v>
      </c>
      <c r="E111" s="86" t="s">
        <v>3225</v>
      </c>
      <c r="F111" s="7" t="s">
        <v>2859</v>
      </c>
      <c r="G111" s="7" t="s">
        <v>3122</v>
      </c>
      <c r="H111" s="58">
        <v>3681</v>
      </c>
      <c r="I111" s="102">
        <f>3975+31</f>
        <v>4006</v>
      </c>
      <c r="J111" s="58">
        <f t="shared" si="8"/>
        <v>2387.576</v>
      </c>
    </row>
    <row r="112" spans="1:10" ht="61.5" customHeight="1" x14ac:dyDescent="0.25">
      <c r="A112" s="7"/>
      <c r="B112" s="7" t="s">
        <v>2552</v>
      </c>
      <c r="C112" s="86" t="s">
        <v>3039</v>
      </c>
      <c r="D112" s="7" t="s">
        <v>3035</v>
      </c>
      <c r="E112" s="86" t="s">
        <v>3233</v>
      </c>
      <c r="F112" s="7" t="s">
        <v>3164</v>
      </c>
      <c r="G112" s="7" t="s">
        <v>3185</v>
      </c>
      <c r="H112" s="58">
        <v>3515</v>
      </c>
      <c r="I112" s="102">
        <f>3796+31</f>
        <v>3827</v>
      </c>
      <c r="J112" s="58">
        <f t="shared" si="8"/>
        <v>2280.8919999999998</v>
      </c>
    </row>
    <row r="113" spans="1:10" ht="97.5" customHeight="1" x14ac:dyDescent="0.25">
      <c r="A113" s="7"/>
      <c r="B113" s="7" t="s">
        <v>2553</v>
      </c>
      <c r="C113" s="86" t="s">
        <v>3040</v>
      </c>
      <c r="D113" s="7" t="s">
        <v>3035</v>
      </c>
      <c r="E113" s="86" t="s">
        <v>3223</v>
      </c>
      <c r="F113" s="86" t="s">
        <v>3076</v>
      </c>
      <c r="G113" s="86" t="s">
        <v>3125</v>
      </c>
      <c r="H113" s="58">
        <f>775+3877</f>
        <v>4652</v>
      </c>
      <c r="I113" s="102">
        <f>4187+836+31</f>
        <v>5054</v>
      </c>
      <c r="J113" s="58">
        <f t="shared" si="8"/>
        <v>3012.1839999999997</v>
      </c>
    </row>
    <row r="114" spans="1:10" ht="98.25" customHeight="1" x14ac:dyDescent="0.25">
      <c r="A114" s="7"/>
      <c r="B114" s="7" t="s">
        <v>2554</v>
      </c>
      <c r="C114" s="86" t="s">
        <v>3041</v>
      </c>
      <c r="D114" s="7" t="s">
        <v>3035</v>
      </c>
      <c r="E114" s="86" t="s">
        <v>3223</v>
      </c>
      <c r="F114" s="7" t="s">
        <v>3076</v>
      </c>
      <c r="G114" s="7" t="s">
        <v>3126</v>
      </c>
      <c r="H114" s="58">
        <f>775+3203</f>
        <v>3978</v>
      </c>
      <c r="I114" s="102">
        <f>3459+836+31</f>
        <v>4326</v>
      </c>
      <c r="J114" s="58">
        <f t="shared" si="8"/>
        <v>2578.2959999999998</v>
      </c>
    </row>
    <row r="115" spans="1:10" ht="87.75" customHeight="1" x14ac:dyDescent="0.25">
      <c r="A115" s="7"/>
      <c r="B115" s="7" t="s">
        <v>2555</v>
      </c>
      <c r="C115" s="86" t="s">
        <v>3042</v>
      </c>
      <c r="D115" s="7" t="s">
        <v>3079</v>
      </c>
      <c r="E115" s="86" t="s">
        <v>3236</v>
      </c>
      <c r="F115" s="86" t="s">
        <v>3075</v>
      </c>
      <c r="G115" s="86" t="s">
        <v>3127</v>
      </c>
      <c r="H115" s="58">
        <v>2137</v>
      </c>
      <c r="I115" s="102">
        <f>1378+483+446+31</f>
        <v>2338</v>
      </c>
      <c r="J115" s="58">
        <f t="shared" si="8"/>
        <v>1393.4479999999999</v>
      </c>
    </row>
    <row r="116" spans="1:10" ht="102" customHeight="1" x14ac:dyDescent="0.25">
      <c r="A116" s="7"/>
      <c r="B116" s="7" t="s">
        <v>2556</v>
      </c>
      <c r="C116" s="86" t="s">
        <v>3043</v>
      </c>
      <c r="D116" s="7" t="s">
        <v>3079</v>
      </c>
      <c r="E116" s="86" t="s">
        <v>3236</v>
      </c>
      <c r="F116" s="86" t="s">
        <v>3075</v>
      </c>
      <c r="G116" s="86" t="s">
        <v>3212</v>
      </c>
      <c r="H116" s="58">
        <v>2137</v>
      </c>
      <c r="I116" s="102">
        <f>1378+483+446+31</f>
        <v>2338</v>
      </c>
      <c r="J116" s="58">
        <f t="shared" si="8"/>
        <v>1393.4479999999999</v>
      </c>
    </row>
    <row r="117" spans="1:10" ht="85.5" customHeight="1" x14ac:dyDescent="0.25">
      <c r="A117" s="7"/>
      <c r="B117" s="7" t="s">
        <v>2557</v>
      </c>
      <c r="C117" s="86" t="s">
        <v>3044</v>
      </c>
      <c r="D117" s="7" t="s">
        <v>3079</v>
      </c>
      <c r="E117" s="86" t="s">
        <v>3237</v>
      </c>
      <c r="F117" s="86" t="s">
        <v>3075</v>
      </c>
      <c r="G117" s="86" t="s">
        <v>3211</v>
      </c>
      <c r="H117" s="58">
        <v>1724</v>
      </c>
      <c r="I117" s="102">
        <f>1378+483+31</f>
        <v>1892</v>
      </c>
      <c r="J117" s="58">
        <f t="shared" si="8"/>
        <v>1127.6320000000001</v>
      </c>
    </row>
    <row r="118" spans="1:10" s="62" customFormat="1" x14ac:dyDescent="0.25">
      <c r="A118" s="63"/>
      <c r="B118" s="81" t="s">
        <v>3144</v>
      </c>
      <c r="C118" s="87"/>
      <c r="D118" s="63"/>
      <c r="E118" s="87"/>
      <c r="F118" s="87"/>
      <c r="G118" s="87"/>
      <c r="H118" s="88"/>
      <c r="I118" s="103"/>
      <c r="J118" s="88"/>
    </row>
    <row r="119" spans="1:10" x14ac:dyDescent="0.25">
      <c r="A119" s="7"/>
      <c r="B119" s="7" t="s">
        <v>2558</v>
      </c>
      <c r="C119" s="86" t="s">
        <v>3045</v>
      </c>
      <c r="D119" s="7" t="s">
        <v>3048</v>
      </c>
      <c r="E119" s="86" t="s">
        <v>3072</v>
      </c>
      <c r="F119" s="7" t="s">
        <v>3077</v>
      </c>
      <c r="G119" s="86" t="s">
        <v>3128</v>
      </c>
      <c r="H119" s="58">
        <v>752</v>
      </c>
      <c r="I119" s="102">
        <f t="shared" ref="I119:I130" si="9">H119*1.08</f>
        <v>812.16000000000008</v>
      </c>
      <c r="J119" s="58">
        <f>I119*0.596</f>
        <v>484.04736000000003</v>
      </c>
    </row>
    <row r="120" spans="1:10" x14ac:dyDescent="0.25">
      <c r="A120" s="7"/>
      <c r="B120" s="7" t="s">
        <v>2559</v>
      </c>
      <c r="C120" s="86" t="s">
        <v>3046</v>
      </c>
      <c r="D120" s="7" t="s">
        <v>3049</v>
      </c>
      <c r="E120" s="86" t="s">
        <v>3072</v>
      </c>
      <c r="F120" s="7" t="s">
        <v>3077</v>
      </c>
      <c r="G120" s="86" t="s">
        <v>3155</v>
      </c>
      <c r="H120" s="58">
        <v>1571</v>
      </c>
      <c r="I120" s="102">
        <f t="shared" si="9"/>
        <v>1696.68</v>
      </c>
      <c r="J120" s="58">
        <f t="shared" ref="J120:J128" si="10">I120*0.596</f>
        <v>1011.22128</v>
      </c>
    </row>
    <row r="121" spans="1:10" x14ac:dyDescent="0.25">
      <c r="A121" s="7"/>
      <c r="B121" s="7" t="s">
        <v>2560</v>
      </c>
      <c r="C121" s="86" t="s">
        <v>3047</v>
      </c>
      <c r="D121" s="7" t="s">
        <v>3050</v>
      </c>
      <c r="E121" s="86" t="s">
        <v>3072</v>
      </c>
      <c r="F121" s="7" t="s">
        <v>3077</v>
      </c>
      <c r="G121" s="86" t="s">
        <v>3156</v>
      </c>
      <c r="H121" s="58">
        <v>1917</v>
      </c>
      <c r="I121" s="102">
        <f t="shared" si="9"/>
        <v>2070.36</v>
      </c>
      <c r="J121" s="58">
        <f t="shared" si="10"/>
        <v>1233.9345599999999</v>
      </c>
    </row>
    <row r="122" spans="1:10" x14ac:dyDescent="0.25">
      <c r="A122" s="7"/>
      <c r="B122" s="7" t="s">
        <v>2561</v>
      </c>
      <c r="C122" s="86" t="s">
        <v>3051</v>
      </c>
      <c r="D122" s="7" t="s">
        <v>3054</v>
      </c>
      <c r="E122" s="86" t="s">
        <v>3072</v>
      </c>
      <c r="F122" s="7" t="s">
        <v>3077</v>
      </c>
      <c r="G122" s="86" t="s">
        <v>3129</v>
      </c>
      <c r="H122" s="58">
        <v>761</v>
      </c>
      <c r="I122" s="102">
        <f t="shared" si="9"/>
        <v>821.88000000000011</v>
      </c>
      <c r="J122" s="58">
        <f t="shared" si="10"/>
        <v>489.84048000000007</v>
      </c>
    </row>
    <row r="123" spans="1:10" x14ac:dyDescent="0.25">
      <c r="A123" s="7"/>
      <c r="B123" s="7" t="s">
        <v>2562</v>
      </c>
      <c r="C123" s="86" t="s">
        <v>3052</v>
      </c>
      <c r="D123" s="7" t="s">
        <v>3055</v>
      </c>
      <c r="E123" s="86" t="s">
        <v>3072</v>
      </c>
      <c r="F123" s="7" t="s">
        <v>3077</v>
      </c>
      <c r="G123" s="86" t="s">
        <v>3157</v>
      </c>
      <c r="H123" s="58">
        <v>1165</v>
      </c>
      <c r="I123" s="102">
        <f t="shared" si="9"/>
        <v>1258.2</v>
      </c>
      <c r="J123" s="58">
        <f t="shared" si="10"/>
        <v>749.88720000000001</v>
      </c>
    </row>
    <row r="124" spans="1:10" x14ac:dyDescent="0.25">
      <c r="A124" s="7"/>
      <c r="B124" s="7" t="s">
        <v>2563</v>
      </c>
      <c r="C124" s="86" t="s">
        <v>3053</v>
      </c>
      <c r="D124" s="7" t="s">
        <v>3056</v>
      </c>
      <c r="E124" s="86" t="s">
        <v>3072</v>
      </c>
      <c r="F124" s="7" t="s">
        <v>3077</v>
      </c>
      <c r="G124" s="86" t="s">
        <v>3158</v>
      </c>
      <c r="H124" s="58">
        <v>1458</v>
      </c>
      <c r="I124" s="102">
        <f t="shared" si="9"/>
        <v>1574.64</v>
      </c>
      <c r="J124" s="58">
        <f t="shared" si="10"/>
        <v>938.48544000000004</v>
      </c>
    </row>
    <row r="125" spans="1:10" x14ac:dyDescent="0.25">
      <c r="A125" s="7"/>
      <c r="B125" s="7" t="s">
        <v>2564</v>
      </c>
      <c r="C125" s="86" t="s">
        <v>3057</v>
      </c>
      <c r="D125" s="7" t="s">
        <v>3048</v>
      </c>
      <c r="E125" s="86" t="s">
        <v>3073</v>
      </c>
      <c r="F125" s="7" t="s">
        <v>3077</v>
      </c>
      <c r="G125" s="86" t="s">
        <v>3130</v>
      </c>
      <c r="H125" s="58">
        <v>1036</v>
      </c>
      <c r="I125" s="102">
        <f t="shared" si="9"/>
        <v>1118.8800000000001</v>
      </c>
      <c r="J125" s="58">
        <f t="shared" si="10"/>
        <v>666.85248000000001</v>
      </c>
    </row>
    <row r="126" spans="1:10" x14ac:dyDescent="0.25">
      <c r="A126" s="7"/>
      <c r="B126" s="7" t="s">
        <v>2565</v>
      </c>
      <c r="C126" s="86" t="s">
        <v>3058</v>
      </c>
      <c r="D126" s="7" t="s">
        <v>3054</v>
      </c>
      <c r="E126" s="86" t="s">
        <v>3073</v>
      </c>
      <c r="F126" s="7" t="s">
        <v>3077</v>
      </c>
      <c r="G126" s="86" t="s">
        <v>3129</v>
      </c>
      <c r="H126" s="58">
        <v>1127</v>
      </c>
      <c r="I126" s="102">
        <v>920</v>
      </c>
      <c r="J126" s="58">
        <f t="shared" si="10"/>
        <v>548.31999999999994</v>
      </c>
    </row>
    <row r="127" spans="1:10" x14ac:dyDescent="0.25">
      <c r="A127" s="7"/>
      <c r="B127" s="7" t="s">
        <v>2566</v>
      </c>
      <c r="C127" s="86" t="s">
        <v>3059</v>
      </c>
      <c r="D127" s="7" t="s">
        <v>3048</v>
      </c>
      <c r="E127" s="86" t="s">
        <v>3072</v>
      </c>
      <c r="F127" s="7" t="s">
        <v>3077</v>
      </c>
      <c r="G127" s="86" t="s">
        <v>3130</v>
      </c>
      <c r="H127" s="58">
        <v>945</v>
      </c>
      <c r="I127" s="102">
        <f t="shared" si="9"/>
        <v>1020.6</v>
      </c>
      <c r="J127" s="58">
        <f t="shared" si="10"/>
        <v>608.27760000000001</v>
      </c>
    </row>
    <row r="128" spans="1:10" x14ac:dyDescent="0.25">
      <c r="A128" s="7"/>
      <c r="B128" s="7" t="s">
        <v>2567</v>
      </c>
      <c r="C128" s="86" t="s">
        <v>3060</v>
      </c>
      <c r="D128" s="7" t="s">
        <v>3054</v>
      </c>
      <c r="E128" s="86" t="s">
        <v>3072</v>
      </c>
      <c r="F128" s="7" t="s">
        <v>3077</v>
      </c>
      <c r="G128" s="86" t="s">
        <v>3129</v>
      </c>
      <c r="H128" s="58">
        <v>761</v>
      </c>
      <c r="I128" s="102">
        <f t="shared" si="9"/>
        <v>821.88000000000011</v>
      </c>
      <c r="J128" s="58">
        <f t="shared" si="10"/>
        <v>489.84048000000007</v>
      </c>
    </row>
    <row r="129" spans="1:10" s="62" customFormat="1" x14ac:dyDescent="0.25">
      <c r="A129" s="63"/>
      <c r="B129" s="81" t="s">
        <v>3145</v>
      </c>
      <c r="C129" s="87"/>
      <c r="D129" s="63"/>
      <c r="E129" s="87"/>
      <c r="F129" s="63"/>
      <c r="G129" s="87"/>
      <c r="H129" s="88"/>
      <c r="I129" s="103"/>
      <c r="J129" s="88"/>
    </row>
    <row r="130" spans="1:10" ht="30.75" customHeight="1" x14ac:dyDescent="0.25">
      <c r="A130" s="7"/>
      <c r="B130" s="7" t="s">
        <v>2568</v>
      </c>
      <c r="C130" s="86" t="s">
        <v>3061</v>
      </c>
      <c r="D130" s="7" t="s">
        <v>3069</v>
      </c>
      <c r="E130" s="86" t="s">
        <v>3132</v>
      </c>
      <c r="F130" s="7" t="s">
        <v>3078</v>
      </c>
      <c r="G130" s="7" t="s">
        <v>3131</v>
      </c>
      <c r="H130" s="58">
        <v>1614</v>
      </c>
      <c r="I130" s="102">
        <f t="shared" si="9"/>
        <v>1743.1200000000001</v>
      </c>
      <c r="J130" s="58">
        <f>I130*0.596</f>
        <v>1038.8995199999999</v>
      </c>
    </row>
    <row r="131" spans="1:10" ht="32.25" customHeight="1" x14ac:dyDescent="0.25">
      <c r="A131" s="7"/>
      <c r="B131" s="7" t="s">
        <v>2569</v>
      </c>
      <c r="C131" s="86" t="s">
        <v>3062</v>
      </c>
      <c r="D131" s="7" t="s">
        <v>3069</v>
      </c>
      <c r="E131" s="86" t="s">
        <v>3238</v>
      </c>
      <c r="F131" s="7" t="s">
        <v>3078</v>
      </c>
      <c r="G131" s="7" t="s">
        <v>3135</v>
      </c>
      <c r="H131" s="58">
        <v>3347</v>
      </c>
      <c r="I131" s="102">
        <f>3615+31</f>
        <v>3646</v>
      </c>
      <c r="J131" s="58">
        <f t="shared" ref="J131:J137" si="11">I131*0.596</f>
        <v>2173.0160000000001</v>
      </c>
    </row>
    <row r="132" spans="1:10" ht="36.75" customHeight="1" x14ac:dyDescent="0.25">
      <c r="A132" s="7"/>
      <c r="B132" s="7" t="s">
        <v>2570</v>
      </c>
      <c r="C132" s="86" t="s">
        <v>3063</v>
      </c>
      <c r="D132" s="7" t="s">
        <v>3069</v>
      </c>
      <c r="E132" s="86" t="s">
        <v>3074</v>
      </c>
      <c r="F132" s="7" t="s">
        <v>3078</v>
      </c>
      <c r="G132" s="7" t="s">
        <v>3137</v>
      </c>
      <c r="H132" s="58">
        <v>3116</v>
      </c>
      <c r="I132" s="102">
        <f t="shared" ref="I132:I136" si="12">H132*1.08</f>
        <v>3365.28</v>
      </c>
      <c r="J132" s="58">
        <f t="shared" si="11"/>
        <v>2005.70688</v>
      </c>
    </row>
    <row r="133" spans="1:10" ht="35.25" customHeight="1" x14ac:dyDescent="0.25">
      <c r="A133" s="7"/>
      <c r="B133" s="7" t="s">
        <v>2571</v>
      </c>
      <c r="C133" s="86" t="s">
        <v>3064</v>
      </c>
      <c r="D133" s="7" t="s">
        <v>3069</v>
      </c>
      <c r="E133" s="86" t="s">
        <v>3239</v>
      </c>
      <c r="F133" s="7" t="s">
        <v>3078</v>
      </c>
      <c r="G133" s="7" t="s">
        <v>3138</v>
      </c>
      <c r="H133" s="58">
        <v>4849</v>
      </c>
      <c r="I133" s="102">
        <f>3615+582+1040+31</f>
        <v>5268</v>
      </c>
      <c r="J133" s="58">
        <f t="shared" si="11"/>
        <v>3139.7280000000001</v>
      </c>
    </row>
    <row r="134" spans="1:10" ht="37.5" customHeight="1" x14ac:dyDescent="0.25">
      <c r="A134" s="7"/>
      <c r="B134" s="7" t="s">
        <v>2572</v>
      </c>
      <c r="C134" s="86" t="s">
        <v>3065</v>
      </c>
      <c r="D134" s="7" t="s">
        <v>3069</v>
      </c>
      <c r="E134" s="86" t="s">
        <v>3133</v>
      </c>
      <c r="F134" s="7" t="s">
        <v>3078</v>
      </c>
      <c r="G134" s="7" t="s">
        <v>3134</v>
      </c>
      <c r="H134" s="58">
        <v>3001</v>
      </c>
      <c r="I134" s="102">
        <f t="shared" si="12"/>
        <v>3241.0800000000004</v>
      </c>
      <c r="J134" s="58">
        <f t="shared" si="11"/>
        <v>1931.6836800000001</v>
      </c>
    </row>
    <row r="135" spans="1:10" ht="36" customHeight="1" x14ac:dyDescent="0.25">
      <c r="A135" s="7"/>
      <c r="B135" s="7" t="s">
        <v>2573</v>
      </c>
      <c r="C135" s="86" t="s">
        <v>3066</v>
      </c>
      <c r="D135" s="7" t="s">
        <v>3069</v>
      </c>
      <c r="E135" s="86" t="s">
        <v>3240</v>
      </c>
      <c r="F135" s="7" t="s">
        <v>3078</v>
      </c>
      <c r="G135" s="7" t="s">
        <v>3136</v>
      </c>
      <c r="H135" s="58">
        <v>5827</v>
      </c>
      <c r="I135" s="102">
        <f t="shared" si="12"/>
        <v>6293.1600000000008</v>
      </c>
      <c r="J135" s="58">
        <f t="shared" si="11"/>
        <v>3750.7233600000004</v>
      </c>
    </row>
    <row r="136" spans="1:10" ht="30" customHeight="1" x14ac:dyDescent="0.25">
      <c r="A136" s="7"/>
      <c r="B136" s="7" t="s">
        <v>2574</v>
      </c>
      <c r="C136" s="86" t="s">
        <v>3067</v>
      </c>
      <c r="D136" s="7" t="s">
        <v>3069</v>
      </c>
      <c r="E136" s="86" t="s">
        <v>3139</v>
      </c>
      <c r="F136" s="7" t="s">
        <v>3078</v>
      </c>
      <c r="G136" s="7" t="s">
        <v>3140</v>
      </c>
      <c r="H136" s="58">
        <v>4503</v>
      </c>
      <c r="I136" s="102">
        <f t="shared" si="12"/>
        <v>4863.2400000000007</v>
      </c>
      <c r="J136" s="58">
        <f t="shared" si="11"/>
        <v>2898.4910400000003</v>
      </c>
    </row>
    <row r="137" spans="1:10" ht="33" customHeight="1" x14ac:dyDescent="0.25">
      <c r="A137" s="7"/>
      <c r="B137" s="7" t="s">
        <v>2575</v>
      </c>
      <c r="C137" s="86" t="s">
        <v>3068</v>
      </c>
      <c r="D137" s="7" t="s">
        <v>3069</v>
      </c>
      <c r="E137" s="86" t="s">
        <v>3241</v>
      </c>
      <c r="F137" s="7" t="s">
        <v>3078</v>
      </c>
      <c r="G137" s="7" t="s">
        <v>3141</v>
      </c>
      <c r="H137" s="58">
        <v>7329</v>
      </c>
      <c r="I137" s="102">
        <f>6293+582+1040+31</f>
        <v>7946</v>
      </c>
      <c r="J137" s="58">
        <f t="shared" si="11"/>
        <v>4735.8159999999998</v>
      </c>
    </row>
  </sheetData>
  <pageMargins left="0.25" right="0.25" top="0.75" bottom="0.75" header="0.3" footer="0.3"/>
  <pageSetup scale="2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AD87E-4175-47E7-809E-9A9518EBB90F}">
  <dimension ref="A1:GG30"/>
  <sheetViews>
    <sheetView tabSelected="1" zoomScale="85" zoomScaleNormal="85" workbookViewId="0">
      <selection activeCell="I25" sqref="I25"/>
    </sheetView>
  </sheetViews>
  <sheetFormatPr defaultRowHeight="15" x14ac:dyDescent="0.25"/>
  <cols>
    <col min="1" max="1" width="36.28515625" customWidth="1"/>
    <col min="2" max="2" width="28.28515625" customWidth="1"/>
    <col min="3" max="3" width="107" customWidth="1"/>
    <col min="4" max="4" width="35.28515625" customWidth="1"/>
    <col min="5" max="5" width="21.85546875" customWidth="1"/>
    <col min="6" max="6" width="19.5703125" customWidth="1"/>
    <col min="7" max="7" width="18.28515625" hidden="1" customWidth="1"/>
    <col min="8" max="8" width="18.28515625" customWidth="1"/>
    <col min="9" max="9" width="22.5703125" customWidth="1"/>
  </cols>
  <sheetData>
    <row r="1" spans="1:189" ht="44.25" customHeight="1" thickBot="1" x14ac:dyDescent="0.3">
      <c r="A1" s="4" t="s">
        <v>2629</v>
      </c>
      <c r="B1" s="44" t="s">
        <v>3</v>
      </c>
      <c r="C1" s="44" t="s">
        <v>0</v>
      </c>
      <c r="D1" s="44" t="s">
        <v>4</v>
      </c>
      <c r="E1" s="44" t="s">
        <v>2598</v>
      </c>
      <c r="F1" s="44" t="s">
        <v>1</v>
      </c>
      <c r="G1" s="44" t="s">
        <v>3202</v>
      </c>
      <c r="H1" s="44" t="s">
        <v>3214</v>
      </c>
      <c r="I1" s="44" t="s">
        <v>3215</v>
      </c>
    </row>
    <row r="2" spans="1:189" s="40" customFormat="1" x14ac:dyDescent="0.25">
      <c r="A2" s="41"/>
      <c r="B2" s="45" t="s">
        <v>2448</v>
      </c>
      <c r="C2" s="45" t="s">
        <v>2616</v>
      </c>
      <c r="D2" s="45" t="s">
        <v>2595</v>
      </c>
      <c r="E2" s="45" t="s">
        <v>2576</v>
      </c>
      <c r="F2" s="45" t="s">
        <v>3204</v>
      </c>
      <c r="G2" s="99">
        <v>1087</v>
      </c>
      <c r="H2" s="104">
        <f>G2*1.08</f>
        <v>1173.96</v>
      </c>
      <c r="I2" s="48">
        <f>H2*0.596</f>
        <v>699.68016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</row>
    <row r="3" spans="1:189" x14ac:dyDescent="0.25">
      <c r="A3" s="42"/>
      <c r="B3" s="46" t="s">
        <v>2449</v>
      </c>
      <c r="C3" s="46" t="s">
        <v>2617</v>
      </c>
      <c r="D3" s="46" t="s">
        <v>2595</v>
      </c>
      <c r="E3" s="46" t="s">
        <v>2576</v>
      </c>
      <c r="F3" s="46" t="s">
        <v>3203</v>
      </c>
      <c r="G3" s="100">
        <v>1174</v>
      </c>
      <c r="H3" s="105">
        <f t="shared" ref="H3:H25" si="0">G3*1.08</f>
        <v>1267.92</v>
      </c>
      <c r="I3" s="49">
        <f t="shared" ref="I3:I25" si="1">H3*0.596</f>
        <v>755.68032000000005</v>
      </c>
    </row>
    <row r="4" spans="1:189" x14ac:dyDescent="0.25">
      <c r="A4" s="42"/>
      <c r="B4" s="46" t="s">
        <v>2450</v>
      </c>
      <c r="C4" s="46" t="s">
        <v>2618</v>
      </c>
      <c r="D4" s="46" t="s">
        <v>2595</v>
      </c>
      <c r="E4" s="46" t="s">
        <v>2576</v>
      </c>
      <c r="F4" s="46" t="s">
        <v>2599</v>
      </c>
      <c r="G4" s="100">
        <v>1000</v>
      </c>
      <c r="H4" s="105">
        <f t="shared" si="0"/>
        <v>1080</v>
      </c>
      <c r="I4" s="49">
        <f t="shared" si="1"/>
        <v>643.67999999999995</v>
      </c>
    </row>
    <row r="5" spans="1:189" x14ac:dyDescent="0.25">
      <c r="A5" s="42"/>
      <c r="B5" s="46" t="s">
        <v>2451</v>
      </c>
      <c r="C5" s="46" t="s">
        <v>2619</v>
      </c>
      <c r="D5" s="46" t="s">
        <v>2595</v>
      </c>
      <c r="E5" s="46" t="s">
        <v>2576</v>
      </c>
      <c r="F5" s="46" t="s">
        <v>2600</v>
      </c>
      <c r="G5" s="100">
        <v>1087</v>
      </c>
      <c r="H5" s="105">
        <f t="shared" si="0"/>
        <v>1173.96</v>
      </c>
      <c r="I5" s="49">
        <f t="shared" si="1"/>
        <v>699.68016</v>
      </c>
    </row>
    <row r="6" spans="1:189" x14ac:dyDescent="0.25">
      <c r="A6" s="42"/>
      <c r="B6" s="46" t="s">
        <v>2452</v>
      </c>
      <c r="C6" s="46" t="s">
        <v>2603</v>
      </c>
      <c r="D6" s="46" t="s">
        <v>2595</v>
      </c>
      <c r="E6" s="46" t="s">
        <v>2576</v>
      </c>
      <c r="F6" s="46" t="s">
        <v>2592</v>
      </c>
      <c r="G6" s="100">
        <v>1152</v>
      </c>
      <c r="H6" s="105">
        <f t="shared" si="0"/>
        <v>1244.1600000000001</v>
      </c>
      <c r="I6" s="49">
        <f t="shared" si="1"/>
        <v>741.51936000000001</v>
      </c>
    </row>
    <row r="7" spans="1:189" x14ac:dyDescent="0.25">
      <c r="A7" s="42"/>
      <c r="B7" s="46" t="s">
        <v>2453</v>
      </c>
      <c r="C7" s="46" t="s">
        <v>2604</v>
      </c>
      <c r="D7" s="46" t="s">
        <v>2595</v>
      </c>
      <c r="E7" s="46" t="s">
        <v>2576</v>
      </c>
      <c r="F7" s="46" t="s">
        <v>2472</v>
      </c>
      <c r="G7" s="100">
        <v>953</v>
      </c>
      <c r="H7" s="105">
        <f t="shared" si="0"/>
        <v>1029.24</v>
      </c>
      <c r="I7" s="49">
        <f t="shared" si="1"/>
        <v>613.42704000000003</v>
      </c>
    </row>
    <row r="8" spans="1:189" x14ac:dyDescent="0.25">
      <c r="A8" s="42"/>
      <c r="B8" s="46" t="s">
        <v>2454</v>
      </c>
      <c r="C8" s="46" t="s">
        <v>2605</v>
      </c>
      <c r="D8" s="46" t="s">
        <v>2595</v>
      </c>
      <c r="E8" s="46" t="s">
        <v>2576</v>
      </c>
      <c r="F8" s="46" t="s">
        <v>2593</v>
      </c>
      <c r="G8" s="100">
        <v>1064</v>
      </c>
      <c r="H8" s="105">
        <f t="shared" si="0"/>
        <v>1149.1200000000001</v>
      </c>
      <c r="I8" s="49">
        <f t="shared" si="1"/>
        <v>684.87552000000005</v>
      </c>
    </row>
    <row r="9" spans="1:189" s="39" customFormat="1" ht="15.75" thickBot="1" x14ac:dyDescent="0.3">
      <c r="A9" s="43"/>
      <c r="B9" s="47" t="s">
        <v>2455</v>
      </c>
      <c r="C9" s="47" t="s">
        <v>2606</v>
      </c>
      <c r="D9" s="47" t="s">
        <v>2595</v>
      </c>
      <c r="E9" s="47" t="s">
        <v>2576</v>
      </c>
      <c r="F9" s="47" t="s">
        <v>2594</v>
      </c>
      <c r="G9" s="100">
        <v>865</v>
      </c>
      <c r="H9" s="105">
        <f t="shared" si="0"/>
        <v>934.2</v>
      </c>
      <c r="I9" s="49">
        <f t="shared" si="1"/>
        <v>556.78319999999997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40" customFormat="1" ht="26.25" customHeight="1" x14ac:dyDescent="0.25">
      <c r="A10" s="41"/>
      <c r="B10" s="45" t="s">
        <v>2456</v>
      </c>
      <c r="C10" s="45" t="s">
        <v>2621</v>
      </c>
      <c r="D10" s="45" t="s">
        <v>2595</v>
      </c>
      <c r="E10" s="45" t="s">
        <v>2577</v>
      </c>
      <c r="F10" s="45" t="s">
        <v>2582</v>
      </c>
      <c r="G10" s="99">
        <v>762</v>
      </c>
      <c r="H10" s="104">
        <f t="shared" si="0"/>
        <v>822.96</v>
      </c>
      <c r="I10" s="48">
        <f t="shared" si="1"/>
        <v>490.48415999999997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ht="26.25" customHeight="1" x14ac:dyDescent="0.25">
      <c r="A11" s="42"/>
      <c r="B11" s="46" t="s">
        <v>2457</v>
      </c>
      <c r="C11" s="46" t="s">
        <v>2622</v>
      </c>
      <c r="D11" s="46" t="s">
        <v>2595</v>
      </c>
      <c r="E11" s="46" t="s">
        <v>2577</v>
      </c>
      <c r="F11" s="46" t="s">
        <v>2583</v>
      </c>
      <c r="G11" s="100">
        <v>731</v>
      </c>
      <c r="H11" s="105">
        <f t="shared" si="0"/>
        <v>789.48</v>
      </c>
      <c r="I11" s="49">
        <f t="shared" si="1"/>
        <v>470.53008</v>
      </c>
    </row>
    <row r="12" spans="1:189" ht="28.5" customHeight="1" x14ac:dyDescent="0.25">
      <c r="A12" s="42"/>
      <c r="B12" s="46" t="s">
        <v>2460</v>
      </c>
      <c r="C12" s="46" t="s">
        <v>2620</v>
      </c>
      <c r="D12" s="46" t="s">
        <v>2596</v>
      </c>
      <c r="E12" s="46" t="s">
        <v>2577</v>
      </c>
      <c r="F12" s="46" t="s">
        <v>2584</v>
      </c>
      <c r="G12" s="100">
        <v>739</v>
      </c>
      <c r="H12" s="105">
        <f t="shared" si="0"/>
        <v>798.12</v>
      </c>
      <c r="I12" s="49">
        <f t="shared" si="1"/>
        <v>475.67951999999997</v>
      </c>
    </row>
    <row r="13" spans="1:189" s="39" customFormat="1" ht="30.75" customHeight="1" thickBot="1" x14ac:dyDescent="0.3">
      <c r="A13" s="43"/>
      <c r="B13" s="47" t="s">
        <v>2461</v>
      </c>
      <c r="C13" s="47" t="s">
        <v>2615</v>
      </c>
      <c r="D13" s="47" t="s">
        <v>2596</v>
      </c>
      <c r="E13" s="47" t="s">
        <v>2577</v>
      </c>
      <c r="F13" s="47" t="s">
        <v>2585</v>
      </c>
      <c r="G13" s="100">
        <v>708</v>
      </c>
      <c r="H13" s="105">
        <f t="shared" si="0"/>
        <v>764.6400000000001</v>
      </c>
      <c r="I13" s="49">
        <f t="shared" si="1"/>
        <v>455.72544000000005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40" customFormat="1" ht="44.25" customHeight="1" x14ac:dyDescent="0.25">
      <c r="A14" s="41"/>
      <c r="B14" s="45" t="s">
        <v>2458</v>
      </c>
      <c r="C14" s="45" t="s">
        <v>2611</v>
      </c>
      <c r="D14" s="45" t="s">
        <v>2596</v>
      </c>
      <c r="E14" s="45" t="s">
        <v>2578</v>
      </c>
      <c r="F14" s="45" t="s">
        <v>3243</v>
      </c>
      <c r="G14" s="99">
        <v>570</v>
      </c>
      <c r="H14" s="104">
        <v>672</v>
      </c>
      <c r="I14" s="48">
        <f t="shared" si="1"/>
        <v>400.512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39" customFormat="1" ht="48.75" customHeight="1" thickBot="1" x14ac:dyDescent="0.3">
      <c r="A15" s="43"/>
      <c r="B15" s="47" t="s">
        <v>2459</v>
      </c>
      <c r="C15" s="47" t="s">
        <v>2612</v>
      </c>
      <c r="D15" s="47" t="s">
        <v>2596</v>
      </c>
      <c r="E15" s="47" t="s">
        <v>2578</v>
      </c>
      <c r="F15" s="47" t="s">
        <v>3242</v>
      </c>
      <c r="G15" s="100">
        <v>614</v>
      </c>
      <c r="H15" s="105">
        <v>646</v>
      </c>
      <c r="I15" s="49">
        <f t="shared" si="1"/>
        <v>385.01599999999996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40" customFormat="1" ht="21" customHeight="1" x14ac:dyDescent="0.25">
      <c r="A16" s="41"/>
      <c r="B16" s="45" t="s">
        <v>2462</v>
      </c>
      <c r="C16" s="45" t="s">
        <v>2613</v>
      </c>
      <c r="D16" s="45" t="s">
        <v>2597</v>
      </c>
      <c r="E16" s="45" t="s">
        <v>2579</v>
      </c>
      <c r="F16" s="45" t="s">
        <v>2587</v>
      </c>
      <c r="G16" s="99">
        <v>1004</v>
      </c>
      <c r="H16" s="104">
        <f t="shared" si="0"/>
        <v>1084.3200000000002</v>
      </c>
      <c r="I16" s="48">
        <f t="shared" si="1"/>
        <v>646.25472000000002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  <row r="17" spans="1:189" ht="20.25" customHeight="1" x14ac:dyDescent="0.25">
      <c r="A17" s="42"/>
      <c r="B17" s="46" t="s">
        <v>2463</v>
      </c>
      <c r="C17" s="46" t="s">
        <v>2614</v>
      </c>
      <c r="D17" s="46" t="s">
        <v>2597</v>
      </c>
      <c r="E17" s="46" t="s">
        <v>2579</v>
      </c>
      <c r="F17" s="46" t="s">
        <v>2586</v>
      </c>
      <c r="G17" s="100">
        <v>912</v>
      </c>
      <c r="H17" s="105">
        <f t="shared" si="0"/>
        <v>984.96</v>
      </c>
      <c r="I17" s="49">
        <f t="shared" si="1"/>
        <v>587.03616</v>
      </c>
    </row>
    <row r="18" spans="1:189" ht="21.75" customHeight="1" x14ac:dyDescent="0.25">
      <c r="A18" s="42"/>
      <c r="B18" s="46" t="s">
        <v>2464</v>
      </c>
      <c r="C18" s="46" t="s">
        <v>2623</v>
      </c>
      <c r="D18" s="46" t="s">
        <v>2597</v>
      </c>
      <c r="E18" s="46" t="s">
        <v>2579</v>
      </c>
      <c r="F18" s="46" t="s">
        <v>2588</v>
      </c>
      <c r="G18" s="100">
        <v>937</v>
      </c>
      <c r="H18" s="105">
        <f t="shared" si="0"/>
        <v>1011.96</v>
      </c>
      <c r="I18" s="49">
        <f t="shared" si="1"/>
        <v>603.12815999999998</v>
      </c>
    </row>
    <row r="19" spans="1:189" s="39" customFormat="1" ht="21.75" customHeight="1" thickBot="1" x14ac:dyDescent="0.3">
      <c r="A19" s="43"/>
      <c r="B19" s="47" t="s">
        <v>2465</v>
      </c>
      <c r="C19" s="47" t="s">
        <v>2624</v>
      </c>
      <c r="D19" s="47" t="s">
        <v>2597</v>
      </c>
      <c r="E19" s="47" t="s">
        <v>2579</v>
      </c>
      <c r="F19" s="47" t="s">
        <v>2589</v>
      </c>
      <c r="G19" s="100">
        <v>840</v>
      </c>
      <c r="H19" s="105">
        <f t="shared" si="0"/>
        <v>907.2</v>
      </c>
      <c r="I19" s="49">
        <f t="shared" si="1"/>
        <v>540.69119999999998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</row>
    <row r="20" spans="1:189" s="40" customFormat="1" ht="23.25" customHeight="1" x14ac:dyDescent="0.25">
      <c r="A20" s="41"/>
      <c r="B20" s="45" t="s">
        <v>2466</v>
      </c>
      <c r="C20" s="45" t="s">
        <v>2607</v>
      </c>
      <c r="D20" s="45" t="s">
        <v>2597</v>
      </c>
      <c r="E20" s="45" t="s">
        <v>2581</v>
      </c>
      <c r="F20" s="45" t="s">
        <v>2625</v>
      </c>
      <c r="G20" s="99">
        <v>625</v>
      </c>
      <c r="H20" s="104">
        <f t="shared" si="0"/>
        <v>675</v>
      </c>
      <c r="I20" s="48">
        <f t="shared" si="1"/>
        <v>402.29999999999995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</row>
    <row r="21" spans="1:189" ht="23.25" customHeight="1" x14ac:dyDescent="0.25">
      <c r="A21" s="42"/>
      <c r="B21" s="46" t="s">
        <v>2467</v>
      </c>
      <c r="C21" s="46" t="s">
        <v>2608</v>
      </c>
      <c r="D21" s="46" t="s">
        <v>2597</v>
      </c>
      <c r="E21" s="46" t="s">
        <v>2581</v>
      </c>
      <c r="F21" s="46" t="s">
        <v>2601</v>
      </c>
      <c r="G21" s="100">
        <v>525</v>
      </c>
      <c r="H21" s="105">
        <f t="shared" si="0"/>
        <v>567</v>
      </c>
      <c r="I21" s="49">
        <f t="shared" si="1"/>
        <v>337.93199999999996</v>
      </c>
    </row>
    <row r="22" spans="1:189" ht="21.75" customHeight="1" x14ac:dyDescent="0.25">
      <c r="A22" s="42"/>
      <c r="B22" s="46" t="s">
        <v>2468</v>
      </c>
      <c r="C22" s="46" t="s">
        <v>2609</v>
      </c>
      <c r="D22" s="46" t="s">
        <v>2597</v>
      </c>
      <c r="E22" s="46" t="s">
        <v>2581</v>
      </c>
      <c r="F22" s="46" t="s">
        <v>2626</v>
      </c>
      <c r="G22" s="100">
        <v>566</v>
      </c>
      <c r="H22" s="105">
        <f t="shared" si="0"/>
        <v>611.28000000000009</v>
      </c>
      <c r="I22" s="49">
        <f t="shared" si="1"/>
        <v>364.32288000000005</v>
      </c>
    </row>
    <row r="23" spans="1:189" s="39" customFormat="1" ht="19.5" customHeight="1" thickBot="1" x14ac:dyDescent="0.3">
      <c r="A23" s="43"/>
      <c r="B23" s="47" t="s">
        <v>2469</v>
      </c>
      <c r="C23" s="47" t="s">
        <v>2610</v>
      </c>
      <c r="D23" s="47" t="s">
        <v>2597</v>
      </c>
      <c r="E23" s="47" t="s">
        <v>2581</v>
      </c>
      <c r="F23" s="47" t="s">
        <v>2602</v>
      </c>
      <c r="G23" s="100">
        <v>468</v>
      </c>
      <c r="H23" s="105">
        <f t="shared" si="0"/>
        <v>505.44000000000005</v>
      </c>
      <c r="I23" s="49">
        <f t="shared" si="1"/>
        <v>301.24224000000004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</row>
    <row r="24" spans="1:189" s="40" customFormat="1" ht="44.25" customHeight="1" x14ac:dyDescent="0.25">
      <c r="A24" s="41"/>
      <c r="B24" s="45" t="s">
        <v>2470</v>
      </c>
      <c r="C24" s="45" t="s">
        <v>2627</v>
      </c>
      <c r="D24" s="45" t="s">
        <v>2597</v>
      </c>
      <c r="E24" s="45" t="s">
        <v>2580</v>
      </c>
      <c r="F24" s="45" t="s">
        <v>2590</v>
      </c>
      <c r="G24" s="99">
        <v>578</v>
      </c>
      <c r="H24" s="104">
        <f t="shared" si="0"/>
        <v>624.24</v>
      </c>
      <c r="I24" s="48">
        <f t="shared" si="1"/>
        <v>372.04703999999998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</row>
    <row r="25" spans="1:189" s="39" customFormat="1" ht="45" customHeight="1" thickBot="1" x14ac:dyDescent="0.3">
      <c r="A25" s="43"/>
      <c r="B25" s="47" t="s">
        <v>2471</v>
      </c>
      <c r="C25" s="47" t="s">
        <v>2627</v>
      </c>
      <c r="D25" s="47" t="s">
        <v>2597</v>
      </c>
      <c r="E25" s="47" t="s">
        <v>2580</v>
      </c>
      <c r="F25" s="47" t="s">
        <v>2591</v>
      </c>
      <c r="G25" s="101">
        <v>554</v>
      </c>
      <c r="H25" s="106">
        <f t="shared" si="0"/>
        <v>598.32000000000005</v>
      </c>
      <c r="I25" s="50">
        <f t="shared" si="1"/>
        <v>356.59872000000001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</row>
    <row r="27" spans="1:189" x14ac:dyDescent="0.25">
      <c r="C27" s="4" t="s">
        <v>2628</v>
      </c>
    </row>
    <row r="28" spans="1:189" x14ac:dyDescent="0.25">
      <c r="I28" s="56"/>
    </row>
    <row r="30" spans="1:189" x14ac:dyDescent="0.25">
      <c r="I30" s="55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F6DBD-DF98-4E68-BCDD-53B07CBDAE62}">
  <dimension ref="A1:K3"/>
  <sheetViews>
    <sheetView topLeftCell="D1" zoomScale="85" zoomScaleNormal="85" workbookViewId="0">
      <selection activeCell="G2" sqref="G2"/>
    </sheetView>
  </sheetViews>
  <sheetFormatPr defaultColWidth="54.140625" defaultRowHeight="15" x14ac:dyDescent="0.25"/>
  <cols>
    <col min="2" max="2" width="23.140625" customWidth="1"/>
    <col min="3" max="3" width="73" customWidth="1"/>
    <col min="4" max="4" width="11.7109375" customWidth="1"/>
    <col min="5" max="5" width="23" customWidth="1"/>
    <col min="6" max="6" width="76.85546875" customWidth="1"/>
    <col min="7" max="7" width="91.28515625" customWidth="1"/>
    <col min="8" max="8" width="19.42578125" hidden="1" customWidth="1"/>
    <col min="9" max="9" width="19.42578125" customWidth="1"/>
    <col min="10" max="10" width="27.140625" customWidth="1"/>
  </cols>
  <sheetData>
    <row r="1" spans="1:11" ht="31.5" customHeight="1" x14ac:dyDescent="0.25">
      <c r="A1" s="83" t="s">
        <v>2937</v>
      </c>
      <c r="B1" s="57" t="s">
        <v>3</v>
      </c>
      <c r="C1" s="57" t="s">
        <v>0</v>
      </c>
      <c r="D1" s="57" t="s">
        <v>2890</v>
      </c>
      <c r="E1" s="57" t="s">
        <v>2891</v>
      </c>
      <c r="F1" s="57" t="s">
        <v>1</v>
      </c>
      <c r="G1" s="57" t="s">
        <v>2</v>
      </c>
      <c r="H1" s="12" t="s">
        <v>3202</v>
      </c>
      <c r="I1" s="12" t="s">
        <v>3214</v>
      </c>
      <c r="J1" s="12" t="s">
        <v>3215</v>
      </c>
    </row>
    <row r="2" spans="1:11" ht="148.5" customHeight="1" x14ac:dyDescent="0.25">
      <c r="A2" s="7"/>
      <c r="B2" s="7" t="s">
        <v>2893</v>
      </c>
      <c r="C2" s="7" t="s">
        <v>2897</v>
      </c>
      <c r="D2" s="7" t="s">
        <v>2894</v>
      </c>
      <c r="E2" s="7" t="s">
        <v>2892</v>
      </c>
      <c r="F2" s="7" t="s">
        <v>5015</v>
      </c>
      <c r="G2" s="7" t="s">
        <v>3252</v>
      </c>
      <c r="H2" s="58">
        <v>10859</v>
      </c>
      <c r="I2" s="58">
        <v>12785</v>
      </c>
      <c r="J2" s="58">
        <f>I2*0.596</f>
        <v>7619.86</v>
      </c>
      <c r="K2" s="111"/>
    </row>
    <row r="3" spans="1:11" ht="124.5" customHeight="1" x14ac:dyDescent="0.25">
      <c r="A3" s="7"/>
      <c r="B3" s="7" t="s">
        <v>3199</v>
      </c>
      <c r="C3" s="7" t="s">
        <v>3200</v>
      </c>
      <c r="D3" s="7" t="s">
        <v>2895</v>
      </c>
      <c r="E3" s="7" t="s">
        <v>2896</v>
      </c>
      <c r="F3" s="7" t="s">
        <v>3205</v>
      </c>
      <c r="G3" s="7" t="s">
        <v>2898</v>
      </c>
      <c r="H3" s="58">
        <v>5408</v>
      </c>
      <c r="I3" s="58">
        <f>(H3*1.08)+31</f>
        <v>5871.64</v>
      </c>
      <c r="J3" s="58">
        <f>I3*0.596</f>
        <v>3499.4974400000001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CAT 6- Meeting-Training Room </vt:lpstr>
      <vt:lpstr>CAT 6 -Credenza</vt:lpstr>
      <vt:lpstr>CAT 6- Collaborative Tables</vt:lpstr>
      <vt:lpstr>CAT 6 - Soft Seating and Screen</vt:lpstr>
      <vt:lpstr>CAT 6 - Kitchenette Chairs</vt:lpstr>
      <vt:lpstr>CAT 6 - Open Area Workspace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Caitlin Harrington</dc:creator>
  <cp:lastModifiedBy>Magdalena Siwek</cp:lastModifiedBy>
  <cp:lastPrinted>2022-11-30T13:01:55Z</cp:lastPrinted>
  <dcterms:created xsi:type="dcterms:W3CDTF">2019-08-17T16:38:44Z</dcterms:created>
  <dcterms:modified xsi:type="dcterms:W3CDTF">2023-04-18T18:12:13Z</dcterms:modified>
</cp:coreProperties>
</file>